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60" windowHeight="7365" activeTab="0"/>
  </bookViews>
  <sheets>
    <sheet name="Botado" sheetId="1" r:id="rId1"/>
    <sheet name="Hoja1" sheetId="2" r:id="rId2"/>
  </sheets>
  <definedNames>
    <definedName name="_xlnm.Print_Area" localSheetId="0">'Botado'!$A$1:$K$108</definedName>
  </definedNames>
  <calcPr fullCalcOnLoad="1"/>
</workbook>
</file>

<file path=xl/sharedStrings.xml><?xml version="1.0" encoding="utf-8"?>
<sst xmlns="http://schemas.openxmlformats.org/spreadsheetml/2006/main" count="187" uniqueCount="128">
  <si>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</si>
  <si>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</si>
  <si>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</si>
  <si>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</si>
  <si>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</si>
  <si>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</si>
  <si>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</si>
  <si>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</si>
  <si>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</si>
  <si>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</si>
  <si>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</si>
  <si>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</si>
  <si>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</si>
  <si>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</si>
  <si>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</si>
  <si>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</si>
  <si>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</si>
  <si>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</si>
  <si>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</si>
  <si>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</si>
  <si>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</si>
  <si>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</si>
  <si>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</si>
  <si>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</si>
  <si>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</si>
  <si>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</si>
  <si>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</si>
  <si>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</si>
  <si>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</si>
  <si>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</si>
  <si>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</si>
  <si>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</si>
  <si>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</si>
  <si>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</si>
  <si>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</si>
  <si>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</si>
  <si>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</si>
  <si>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</si>
  <si>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</si>
  <si>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</si>
  <si>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</si>
  <si>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</si>
  <si>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</si>
  <si>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Otros:</t>
  </si>
  <si>
    <t>Acequiadora</t>
  </si>
  <si>
    <t>Fungicidas:</t>
  </si>
  <si>
    <t>Insecticidas:</t>
  </si>
  <si>
    <t>Kg</t>
  </si>
  <si>
    <t>ha</t>
  </si>
  <si>
    <t>Octubre-febrero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</si>
  <si>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</si>
  <si>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</si>
  <si>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</si>
  <si>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</si>
  <si>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</si>
  <si>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</si>
  <si>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</si>
  <si>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</si>
  <si>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</si>
  <si>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</si>
  <si>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</si>
  <si>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 xml:space="preserve"> -Fertilizantes:</t>
  </si>
  <si>
    <t xml:space="preserve">  Urea</t>
  </si>
  <si>
    <t xml:space="preserve">Urea </t>
  </si>
  <si>
    <t xml:space="preserve"> -Herbicidas:</t>
  </si>
  <si>
    <t xml:space="preserve">  Karate zeon</t>
  </si>
  <si>
    <t xml:space="preserve"> (5) Margen neto corresponde a ingresos totales (precio venta x rendimiento) menos los costos totales.</t>
  </si>
  <si>
    <t>Análisis foliar</t>
  </si>
  <si>
    <t>Octubre-noviembre</t>
  </si>
  <si>
    <t xml:space="preserve"> </t>
  </si>
  <si>
    <t>Limpia manual sobre la hilera</t>
  </si>
  <si>
    <t>Precio($/Un)</t>
  </si>
  <si>
    <t>Régimen hídrico: por surco</t>
  </si>
  <si>
    <t>Tipo de producción: consumo fresco</t>
  </si>
  <si>
    <t xml:space="preserve">Tecnología: media </t>
  </si>
  <si>
    <t>Cultivación entre hileras</t>
  </si>
  <si>
    <t xml:space="preserve">  Bravo 720</t>
  </si>
  <si>
    <t xml:space="preserve">  Bayleton</t>
  </si>
  <si>
    <t>Región Metropolitana</t>
  </si>
  <si>
    <t>Plantación</t>
  </si>
  <si>
    <t>Envoltura</t>
  </si>
  <si>
    <t>Noviembre-diciembre</t>
  </si>
  <si>
    <t>Aradura</t>
  </si>
  <si>
    <t>Rastraje</t>
  </si>
  <si>
    <t>Planta</t>
  </si>
  <si>
    <t>Rendimiento (Cajas/ha)</t>
  </si>
  <si>
    <t>Precio ($/caja)</t>
  </si>
  <si>
    <t xml:space="preserve">Pepino de ensalada </t>
  </si>
  <si>
    <t>Octubre</t>
  </si>
  <si>
    <t>Enero-febrero</t>
  </si>
  <si>
    <t>Septiembre-octubre</t>
  </si>
  <si>
    <t>Melgadura y cutivo entre hileras</t>
  </si>
  <si>
    <t>Noviembre</t>
  </si>
  <si>
    <t xml:space="preserve">  Análisis suelo (fertilidad completa)</t>
  </si>
  <si>
    <t>Acarreo de cosecha</t>
  </si>
  <si>
    <t>Agosto</t>
  </si>
  <si>
    <t>Octubre-enero</t>
  </si>
  <si>
    <t>Noviembre-enero</t>
  </si>
  <si>
    <t>Noviembre-febrero</t>
  </si>
  <si>
    <t>Junio-julio</t>
  </si>
  <si>
    <t>Caja</t>
  </si>
  <si>
    <t>Fecha de cosecha: enero-febrero</t>
  </si>
  <si>
    <t>Densidad plantas: 15.000 plantas/ha</t>
  </si>
  <si>
    <t>Cosecha, seleccionar, cargar y/o guardar</t>
  </si>
  <si>
    <t xml:space="preserve">  Previcur Energy 840 SL</t>
  </si>
  <si>
    <t xml:space="preserve">  Confidor 350</t>
  </si>
  <si>
    <t xml:space="preserve">  Fosfimax</t>
  </si>
  <si>
    <t xml:space="preserve">  Kendal</t>
  </si>
  <si>
    <t xml:space="preserve">  Plantas</t>
  </si>
  <si>
    <t>Fecha de plantación: octubre</t>
  </si>
  <si>
    <t xml:space="preserve">  Nitrato de potasio</t>
  </si>
  <si>
    <t xml:space="preserve">  Superfosfato triple</t>
  </si>
  <si>
    <t>1 hectárea Abril 2014</t>
  </si>
  <si>
    <t xml:space="preserve">Rendimiento (Cajas/ha) (1): </t>
  </si>
  <si>
    <t xml:space="preserve">Precio de venta mercado ($/Caja) (2): </t>
  </si>
  <si>
    <t>Insumos (c) (3)</t>
  </si>
  <si>
    <t>Fertilizantes (4):</t>
  </si>
  <si>
    <t>Costo financiero (tasa de interés) (5)</t>
  </si>
  <si>
    <t>Margen neto ($/ha) (6)</t>
  </si>
  <si>
    <t>Costo Unitario ($/caja (7)</t>
  </si>
  <si>
    <t xml:space="preserve"> (2) El precio de la caja de pepino es el promedio a productor de la temporada  enero-febrero 2013 - 2014. Consiste en cortar, sacar, seleccionar y cargar a camión la caja cosechada.</t>
  </si>
  <si>
    <t xml:space="preserve"> (3) Los insumos, la variedad de pepino para ensalada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</si>
  <si>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de fertilización promedio podrían variar de acuerdo a los resultados de los distintos análisis (foliar, suelo, etc.).</t>
  </si>
  <si>
    <t xml:space="preserve"> (7) Representa el precio de venta mínimo para cubrir los costos totales de producción.</t>
  </si>
  <si>
    <t xml:space="preserve"> (1) Una caja platanera contiene en promedio 70 pepinos.</t>
  </si>
  <si>
    <t xml:space="preserve"> (5) 1,5% mensual simple sobre le 50% de los costos totales. Tasa de interés promedio de las empresas distribuidoras de insumos.</t>
  </si>
  <si>
    <t>Variedad: Marketer</t>
  </si>
  <si>
    <t>Costo Unitario ($/caja)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</si>
</sst>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16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6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6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 vertical="center"/>
      <protection/>
    </xf>
    <xf numFmtId="3" fontId="9" fillId="34" borderId="0" xfId="55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6" applyNumberFormat="1" applyFont="1" applyFill="1" applyBorder="1" applyAlignment="1">
      <alignment/>
      <protection/>
    </xf>
    <xf numFmtId="3" fontId="58" fillId="34" borderId="16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3" xfId="66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72" fontId="7" fillId="34" borderId="13" xfId="66" applyFont="1" applyFill="1" applyBorder="1" applyAlignment="1" applyProtection="1">
      <alignment/>
      <protection/>
    </xf>
    <xf numFmtId="172" fontId="58" fillId="34" borderId="15" xfId="66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5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5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6" applyNumberFormat="1" applyFont="1" applyFill="1" applyBorder="1" applyAlignment="1">
      <alignment horizontal="left" vertical="center"/>
      <protection/>
    </xf>
    <xf numFmtId="3" fontId="7" fillId="34" borderId="16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3" xfId="66" applyNumberFormat="1" applyFont="1" applyFill="1" applyBorder="1" applyAlignment="1">
      <alignment horizontal="center"/>
      <protection/>
    </xf>
    <xf numFmtId="0" fontId="7" fillId="34" borderId="15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6" xfId="55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173" fontId="58" fillId="34" borderId="20" xfId="0" applyNumberFormat="1" applyFont="1" applyFill="1" applyBorder="1" applyAlignment="1">
      <alignment/>
    </xf>
    <xf numFmtId="3" fontId="9" fillId="34" borderId="13" xfId="55" applyNumberFormat="1" applyFont="1" applyFill="1" applyBorder="1" applyAlignment="1">
      <alignment/>
      <protection/>
    </xf>
    <xf numFmtId="175" fontId="7" fillId="34" borderId="15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5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4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4" xfId="66" applyNumberFormat="1" applyFont="1" applyFill="1" applyBorder="1" applyAlignment="1" applyProtection="1">
      <alignment horizontal="right"/>
      <protection/>
    </xf>
    <xf numFmtId="2" fontId="9" fillId="34" borderId="22" xfId="55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2" fontId="9" fillId="34" borderId="23" xfId="55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172" fontId="9" fillId="34" borderId="11" xfId="66" applyFont="1" applyFill="1" applyBorder="1" applyAlignment="1">
      <alignment horizontal="right"/>
      <protection/>
    </xf>
    <xf numFmtId="172" fontId="9" fillId="34" borderId="11" xfId="66" applyFont="1" applyFill="1" applyBorder="1" applyAlignment="1">
      <alignment horizontal="right" vertical="center"/>
      <protection/>
    </xf>
    <xf numFmtId="0" fontId="9" fillId="34" borderId="15" xfId="55" applyFont="1" applyFill="1" applyBorder="1" applyAlignment="1" applyProtection="1">
      <alignment horizontal="right"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3" fontId="56" fillId="23" borderId="16" xfId="55" applyNumberFormat="1" applyFont="1" applyFill="1" applyBorder="1" applyAlignment="1" applyProtection="1">
      <alignment horizontal="center" vertic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3" fontId="9" fillId="34" borderId="24" xfId="55" applyNumberFormat="1" applyFont="1" applyFill="1" applyBorder="1" applyAlignment="1" applyProtection="1">
      <alignment horizontal="right"/>
      <protection/>
    </xf>
    <xf numFmtId="0" fontId="9" fillId="34" borderId="20" xfId="55" applyFont="1" applyFill="1" applyBorder="1" applyAlignment="1" applyProtection="1">
      <alignment/>
      <protection/>
    </xf>
    <xf numFmtId="0" fontId="9" fillId="34" borderId="13" xfId="55" applyFont="1" applyFill="1" applyBorder="1" applyAlignment="1" applyProtection="1">
      <alignment/>
      <protection/>
    </xf>
    <xf numFmtId="0" fontId="9" fillId="34" borderId="15" xfId="55" applyFont="1" applyFill="1" applyBorder="1" applyAlignment="1" applyProtection="1">
      <alignment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173" fontId="9" fillId="34" borderId="24" xfId="55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>
      <alignment horizontal="center"/>
      <protection/>
    </xf>
    <xf numFmtId="173" fontId="9" fillId="34" borderId="23" xfId="66" applyNumberFormat="1" applyFont="1" applyFill="1" applyBorder="1" applyAlignment="1" applyProtection="1">
      <alignment horizontal="right"/>
      <protection/>
    </xf>
    <xf numFmtId="173" fontId="9" fillId="34" borderId="23" xfId="66" applyNumberFormat="1" applyFont="1" applyFill="1" applyBorder="1" applyAlignment="1" applyProtection="1">
      <alignment horizontal="right" vertical="center"/>
      <protection/>
    </xf>
    <xf numFmtId="3" fontId="9" fillId="34" borderId="22" xfId="55" applyNumberFormat="1" applyFont="1" applyFill="1" applyBorder="1" applyAlignment="1" applyProtection="1">
      <alignment horizontal="right"/>
      <protection/>
    </xf>
    <xf numFmtId="3" fontId="9" fillId="34" borderId="23" xfId="55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>
      <alignment vertical="center" wrapText="1"/>
    </xf>
    <xf numFmtId="17" fontId="9" fillId="34" borderId="18" xfId="66" applyNumberFormat="1" applyFont="1" applyFill="1" applyBorder="1" applyAlignment="1" applyProtection="1">
      <alignment/>
      <protection/>
    </xf>
    <xf numFmtId="0" fontId="9" fillId="34" borderId="14" xfId="54" applyFont="1" applyFill="1" applyBorder="1">
      <alignment/>
      <protection/>
    </xf>
    <xf numFmtId="0" fontId="9" fillId="0" borderId="19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11" xfId="55" applyFont="1" applyFill="1" applyBorder="1" applyAlignment="1">
      <alignment horizontal="left" vertical="top" wrapText="1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0" xfId="55" applyFont="1" applyFill="1" applyBorder="1" applyAlignment="1">
      <alignment horizontal="center"/>
      <protection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175" fontId="9" fillId="34" borderId="13" xfId="0" applyNumberFormat="1" applyFont="1" applyFill="1" applyBorder="1" applyAlignment="1">
      <alignment horizontal="center" vertical="center"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4" xfId="55" applyNumberFormat="1" applyFont="1" applyFill="1" applyBorder="1" applyAlignment="1">
      <alignment horizontal="left"/>
      <protection/>
    </xf>
    <xf numFmtId="3" fontId="11" fillId="34" borderId="16" xfId="55" applyNumberFormat="1" applyFont="1" applyFill="1" applyBorder="1" applyAlignment="1">
      <alignment horizontal="left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9" fillId="34" borderId="20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>
      <alignment horizontal="center"/>
      <protection/>
    </xf>
    <xf numFmtId="0" fontId="55" fillId="38" borderId="20" xfId="0" applyFont="1" applyFill="1" applyBorder="1" applyAlignment="1">
      <alignment horizont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3" fontId="7" fillId="36" borderId="15" xfId="55" applyNumberFormat="1" applyFont="1" applyFill="1" applyBorder="1" applyAlignment="1" applyProtection="1">
      <alignment horizontal="right" vertical="center"/>
      <protection/>
    </xf>
    <xf numFmtId="0" fontId="55" fillId="38" borderId="18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3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center" vertical="center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4" xfId="66" applyNumberFormat="1" applyFont="1" applyFill="1" applyBorder="1" applyAlignment="1" applyProtection="1">
      <alignment horizontal="center"/>
      <protection/>
    </xf>
    <xf numFmtId="17" fontId="55" fillId="39" borderId="16" xfId="66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6" fillId="23" borderId="21" xfId="55" applyFont="1" applyFill="1" applyBorder="1" applyAlignment="1" applyProtection="1">
      <alignment horizontal="center" vertical="center"/>
      <protection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3" xfId="55" applyFont="1" applyFill="1" applyBorder="1" applyAlignment="1" applyProtection="1">
      <alignment horizontal="left" vertical="center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0" fontId="7" fillId="34" borderId="19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11" xfId="66" applyNumberFormat="1" applyFont="1" applyFill="1" applyBorder="1" applyAlignment="1" applyProtection="1">
      <alignment horizontal="left" vertical="center" wrapText="1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5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3" fontId="7" fillId="37" borderId="16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95250</xdr:rowOff>
    </xdr:from>
    <xdr:to>
      <xdr:col>2</xdr:col>
      <xdr:colOff>1114425</xdr:colOff>
      <xdr:row>12</xdr:row>
      <xdr:rowOff>76200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14350"/>
          <a:ext cx="23431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105</xdr:row>
      <xdr:rowOff>9525</xdr:rowOff>
    </xdr:from>
    <xdr:to>
      <xdr:col>2</xdr:col>
      <xdr:colOff>1095375</xdr:colOff>
      <xdr:row>105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09675" y="24803100"/>
          <a:ext cx="2324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8"/>
  <sheetViews>
    <sheetView showGridLines="0" tabSelected="1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7.8515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23.421875" style="0" customWidth="1"/>
    <col min="11" max="11" width="19.421875" style="6" customWidth="1"/>
    <col min="12" max="12" width="15.28125" style="3" bestFit="1" customWidth="1"/>
    <col min="13" max="16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74" t="s">
        <v>9</v>
      </c>
      <c r="C2" s="274"/>
      <c r="D2" s="274"/>
      <c r="E2" s="274"/>
      <c r="F2" s="274"/>
      <c r="G2" s="274"/>
      <c r="H2" s="274"/>
      <c r="I2" s="274"/>
      <c r="J2" s="274"/>
    </row>
    <row r="3" spans="2:11" s="3" customFormat="1" ht="18" customHeight="1">
      <c r="B3" s="88"/>
      <c r="C3" s="123"/>
      <c r="D3" s="123"/>
      <c r="E3" s="275" t="s">
        <v>87</v>
      </c>
      <c r="F3" s="275"/>
      <c r="G3" s="275"/>
      <c r="H3" s="123"/>
      <c r="I3" s="124"/>
      <c r="J3" s="123"/>
      <c r="K3" s="10"/>
    </row>
    <row r="4" spans="2:11" s="3" customFormat="1" ht="19.5">
      <c r="B4" s="88"/>
      <c r="C4" s="123"/>
      <c r="D4" s="279" t="s">
        <v>78</v>
      </c>
      <c r="E4" s="279"/>
      <c r="F4" s="279"/>
      <c r="G4" s="279"/>
      <c r="H4" s="279"/>
      <c r="I4" s="123"/>
      <c r="J4" s="123"/>
      <c r="K4" s="10"/>
    </row>
    <row r="5" spans="2:11" s="3" customFormat="1" ht="18.75">
      <c r="B5" s="35"/>
      <c r="C5" s="35"/>
      <c r="D5" s="125"/>
      <c r="E5" s="37"/>
      <c r="F5" s="37"/>
      <c r="G5" s="101"/>
      <c r="H5" s="37"/>
      <c r="I5" s="35"/>
      <c r="J5" s="126"/>
      <c r="K5" s="12"/>
    </row>
    <row r="6" spans="2:11" s="3" customFormat="1" ht="18">
      <c r="B6" s="35"/>
      <c r="C6" s="35"/>
      <c r="D6" s="266" t="s">
        <v>53</v>
      </c>
      <c r="E6" s="267"/>
      <c r="F6" s="267"/>
      <c r="G6" s="267"/>
      <c r="H6" s="267"/>
      <c r="I6" s="267"/>
      <c r="J6" s="268"/>
      <c r="K6" s="12"/>
    </row>
    <row r="7" spans="2:11" s="3" customFormat="1" ht="18.75">
      <c r="B7" s="35"/>
      <c r="C7" s="35"/>
      <c r="D7" s="210" t="s">
        <v>112</v>
      </c>
      <c r="E7" s="82"/>
      <c r="F7" s="82"/>
      <c r="G7" s="150" t="s">
        <v>126</v>
      </c>
      <c r="H7" s="83"/>
      <c r="I7" s="84"/>
      <c r="J7" s="85"/>
      <c r="K7" s="12"/>
    </row>
    <row r="8" spans="2:11" s="3" customFormat="1" ht="18.75">
      <c r="B8" s="35"/>
      <c r="C8" s="35"/>
      <c r="D8" s="151" t="s">
        <v>72</v>
      </c>
      <c r="E8" s="148"/>
      <c r="F8" s="86"/>
      <c r="G8" s="148" t="s">
        <v>73</v>
      </c>
      <c r="H8" s="88"/>
      <c r="I8" s="89"/>
      <c r="J8" s="90"/>
      <c r="K8" s="12"/>
    </row>
    <row r="9" spans="2:11" s="3" customFormat="1" ht="18.75">
      <c r="B9" s="35"/>
      <c r="C9" s="35"/>
      <c r="D9" s="151" t="s">
        <v>102</v>
      </c>
      <c r="E9" s="148"/>
      <c r="F9" s="86"/>
      <c r="G9" s="148" t="s">
        <v>74</v>
      </c>
      <c r="H9" s="88"/>
      <c r="I9" s="89"/>
      <c r="J9" s="90"/>
      <c r="K9" s="12"/>
    </row>
    <row r="10" spans="2:11" s="3" customFormat="1" ht="18.75">
      <c r="B10" s="35"/>
      <c r="C10" s="35"/>
      <c r="D10" s="153" t="s">
        <v>109</v>
      </c>
      <c r="E10" s="86"/>
      <c r="F10" s="86"/>
      <c r="G10" s="148" t="s">
        <v>101</v>
      </c>
      <c r="H10" s="88"/>
      <c r="I10" s="89"/>
      <c r="J10" s="90"/>
      <c r="K10" s="14"/>
    </row>
    <row r="11" spans="2:11" s="3" customFormat="1" ht="18.75">
      <c r="B11" s="35"/>
      <c r="C11" s="35"/>
      <c r="D11" s="152"/>
      <c r="E11" s="91"/>
      <c r="F11" s="91"/>
      <c r="G11" s="154"/>
      <c r="H11" s="92"/>
      <c r="I11" s="93"/>
      <c r="J11" s="94"/>
      <c r="K11" s="14"/>
    </row>
    <row r="12" spans="2:11" s="3" customFormat="1" ht="18.75">
      <c r="B12" s="35"/>
      <c r="C12" s="35"/>
      <c r="D12" s="86"/>
      <c r="E12" s="86"/>
      <c r="F12" s="86"/>
      <c r="G12" s="87"/>
      <c r="H12" s="88"/>
      <c r="I12" s="89"/>
      <c r="J12" s="149"/>
      <c r="K12" s="14"/>
    </row>
    <row r="13" spans="2:11" s="3" customFormat="1" ht="18">
      <c r="B13" s="127"/>
      <c r="C13" s="34"/>
      <c r="D13" s="22"/>
      <c r="E13" s="128"/>
      <c r="F13" s="129"/>
      <c r="G13" s="130"/>
      <c r="H13" s="35"/>
      <c r="I13" s="131"/>
      <c r="J13" s="132"/>
      <c r="K13" s="15"/>
    </row>
    <row r="14" spans="2:11" ht="18">
      <c r="B14" s="276" t="s">
        <v>54</v>
      </c>
      <c r="C14" s="277"/>
      <c r="D14" s="277"/>
      <c r="E14" s="278"/>
      <c r="F14" s="34"/>
      <c r="G14" s="276" t="s">
        <v>15</v>
      </c>
      <c r="H14" s="277"/>
      <c r="I14" s="277"/>
      <c r="J14" s="278"/>
      <c r="K14" s="12"/>
    </row>
    <row r="15" spans="2:11" ht="18" customHeight="1">
      <c r="B15" s="103" t="s">
        <v>113</v>
      </c>
      <c r="C15" s="211"/>
      <c r="D15" s="82"/>
      <c r="E15" s="104">
        <v>1700</v>
      </c>
      <c r="F15" s="35"/>
      <c r="G15" s="112" t="s">
        <v>7</v>
      </c>
      <c r="H15" s="82"/>
      <c r="I15" s="82"/>
      <c r="J15" s="113">
        <f>E15*E16</f>
        <v>5950000</v>
      </c>
      <c r="K15" s="12"/>
    </row>
    <row r="16" spans="2:11" ht="18" customHeight="1">
      <c r="B16" s="280" t="s">
        <v>114</v>
      </c>
      <c r="C16" s="281"/>
      <c r="D16" s="281"/>
      <c r="E16" s="105">
        <v>3500</v>
      </c>
      <c r="F16" s="35"/>
      <c r="G16" s="114" t="s">
        <v>11</v>
      </c>
      <c r="H16" s="35"/>
      <c r="I16" s="35"/>
      <c r="J16" s="115">
        <f>J31+J42+J65</f>
        <v>3905650</v>
      </c>
      <c r="K16" s="12"/>
    </row>
    <row r="17" spans="2:11" ht="18" customHeight="1">
      <c r="B17" s="106" t="s">
        <v>10</v>
      </c>
      <c r="C17" s="36"/>
      <c r="D17" s="35"/>
      <c r="E17" s="105">
        <v>13000</v>
      </c>
      <c r="F17" s="35"/>
      <c r="G17" s="114" t="s">
        <v>12</v>
      </c>
      <c r="H17" s="37"/>
      <c r="I17" s="35"/>
      <c r="J17" s="115">
        <f>J31+J42+J65+J76</f>
        <v>4247394.375</v>
      </c>
      <c r="K17" s="12"/>
    </row>
    <row r="18" spans="2:11" ht="18" customHeight="1">
      <c r="B18" s="106" t="s">
        <v>4</v>
      </c>
      <c r="C18" s="38"/>
      <c r="D18" s="35"/>
      <c r="E18" s="107">
        <v>0.015</v>
      </c>
      <c r="F18" s="35"/>
      <c r="G18" s="114" t="s">
        <v>13</v>
      </c>
      <c r="H18" s="35"/>
      <c r="I18" s="35"/>
      <c r="J18" s="115">
        <f>J15-J16</f>
        <v>2044350</v>
      </c>
      <c r="K18" s="12"/>
    </row>
    <row r="19" spans="2:11" ht="18" customHeight="1">
      <c r="B19" s="106" t="s">
        <v>8</v>
      </c>
      <c r="C19" s="38"/>
      <c r="D19" s="35"/>
      <c r="E19" s="108">
        <v>0.5</v>
      </c>
      <c r="F19" s="35"/>
      <c r="G19" s="114" t="s">
        <v>14</v>
      </c>
      <c r="H19" s="35"/>
      <c r="I19" s="35"/>
      <c r="J19" s="115">
        <f>J15-J17</f>
        <v>1702605.625</v>
      </c>
      <c r="K19" s="12"/>
    </row>
    <row r="20" spans="2:11" ht="18" customHeight="1">
      <c r="B20" s="109" t="s">
        <v>5</v>
      </c>
      <c r="C20" s="110"/>
      <c r="D20" s="95"/>
      <c r="E20" s="111">
        <v>5</v>
      </c>
      <c r="F20" s="35"/>
      <c r="G20" s="116" t="s">
        <v>50</v>
      </c>
      <c r="H20" s="95"/>
      <c r="I20" s="117"/>
      <c r="J20" s="118">
        <f>G94</f>
        <v>2498.4672794117646</v>
      </c>
      <c r="K20" s="12"/>
    </row>
    <row r="21" spans="2:11" s="3" customFormat="1" ht="18" customHeight="1">
      <c r="B21" s="35"/>
      <c r="C21" s="35"/>
      <c r="D21" s="35"/>
      <c r="E21" s="16"/>
      <c r="F21" s="16"/>
      <c r="G21" s="17"/>
      <c r="H21" s="18"/>
      <c r="I21" s="19"/>
      <c r="J21" s="19"/>
      <c r="K21" s="12"/>
    </row>
    <row r="22" spans="2:11" s="3" customFormat="1" ht="18" customHeight="1">
      <c r="B22" s="135" t="s">
        <v>51</v>
      </c>
      <c r="C22" s="133"/>
      <c r="D22" s="133"/>
      <c r="E22" s="265" t="s">
        <v>16</v>
      </c>
      <c r="F22" s="265"/>
      <c r="G22" s="136" t="s">
        <v>17</v>
      </c>
      <c r="H22" s="137" t="s">
        <v>18</v>
      </c>
      <c r="I22" s="138" t="s">
        <v>71</v>
      </c>
      <c r="J22" s="139" t="s">
        <v>3</v>
      </c>
      <c r="K22" s="12"/>
    </row>
    <row r="23" spans="2:11" s="3" customFormat="1" ht="18" customHeight="1">
      <c r="B23" s="282" t="s">
        <v>20</v>
      </c>
      <c r="C23" s="283"/>
      <c r="D23" s="283"/>
      <c r="E23" s="271"/>
      <c r="F23" s="271"/>
      <c r="G23" s="119"/>
      <c r="H23" s="120"/>
      <c r="I23" s="121"/>
      <c r="J23" s="179"/>
      <c r="K23" s="12"/>
    </row>
    <row r="24" spans="2:10" s="3" customFormat="1" ht="18" customHeight="1">
      <c r="B24" s="272" t="s">
        <v>58</v>
      </c>
      <c r="C24" s="273"/>
      <c r="D24" s="273"/>
      <c r="E24" s="286" t="s">
        <v>49</v>
      </c>
      <c r="F24" s="287"/>
      <c r="G24" s="76">
        <v>8</v>
      </c>
      <c r="H24" s="76" t="s">
        <v>6</v>
      </c>
      <c r="I24" s="155">
        <v>13000</v>
      </c>
      <c r="J24" s="156">
        <f aca="true" t="shared" si="0" ref="J24:J30">G24*I24</f>
        <v>104000</v>
      </c>
    </row>
    <row r="25" spans="2:10" s="3" customFormat="1" ht="18" customHeight="1">
      <c r="B25" s="262" t="s">
        <v>32</v>
      </c>
      <c r="C25" s="263"/>
      <c r="D25" s="264"/>
      <c r="E25" s="217" t="s">
        <v>49</v>
      </c>
      <c r="F25" s="248"/>
      <c r="G25" s="157">
        <v>3</v>
      </c>
      <c r="H25" s="157" t="s">
        <v>6</v>
      </c>
      <c r="I25" s="158">
        <v>13000</v>
      </c>
      <c r="J25" s="159">
        <f t="shared" si="0"/>
        <v>39000</v>
      </c>
    </row>
    <row r="26" spans="2:10" s="3" customFormat="1" ht="18" customHeight="1">
      <c r="B26" s="180" t="s">
        <v>70</v>
      </c>
      <c r="C26" s="181"/>
      <c r="D26" s="182"/>
      <c r="E26" s="217" t="s">
        <v>68</v>
      </c>
      <c r="F26" s="248"/>
      <c r="G26" s="157">
        <v>10</v>
      </c>
      <c r="H26" s="157" t="s">
        <v>6</v>
      </c>
      <c r="I26" s="158">
        <v>13000</v>
      </c>
      <c r="J26" s="159">
        <f t="shared" si="0"/>
        <v>130000</v>
      </c>
    </row>
    <row r="27" spans="2:10" s="3" customFormat="1" ht="18" customHeight="1">
      <c r="B27" s="262" t="s">
        <v>33</v>
      </c>
      <c r="C27" s="263"/>
      <c r="D27" s="264"/>
      <c r="E27" s="217" t="s">
        <v>96</v>
      </c>
      <c r="F27" s="248"/>
      <c r="G27" s="157">
        <v>3</v>
      </c>
      <c r="H27" s="157" t="s">
        <v>6</v>
      </c>
      <c r="I27" s="158">
        <v>13000</v>
      </c>
      <c r="J27" s="159">
        <f t="shared" si="0"/>
        <v>39000</v>
      </c>
    </row>
    <row r="28" spans="2:10" s="3" customFormat="1" ht="18" customHeight="1">
      <c r="B28" s="194" t="s">
        <v>79</v>
      </c>
      <c r="C28" s="195"/>
      <c r="D28" s="196"/>
      <c r="E28" s="217" t="s">
        <v>88</v>
      </c>
      <c r="F28" s="248"/>
      <c r="G28" s="157">
        <v>8</v>
      </c>
      <c r="H28" s="157" t="s">
        <v>6</v>
      </c>
      <c r="I28" s="158">
        <v>13000</v>
      </c>
      <c r="J28" s="159">
        <f t="shared" si="0"/>
        <v>104000</v>
      </c>
    </row>
    <row r="29" spans="2:10" s="3" customFormat="1" ht="18" customHeight="1">
      <c r="B29" s="194" t="s">
        <v>80</v>
      </c>
      <c r="C29" s="195"/>
      <c r="D29" s="196"/>
      <c r="E29" s="217" t="s">
        <v>81</v>
      </c>
      <c r="F29" s="248"/>
      <c r="G29" s="157">
        <v>8</v>
      </c>
      <c r="H29" s="157" t="s">
        <v>6</v>
      </c>
      <c r="I29" s="158">
        <v>13000</v>
      </c>
      <c r="J29" s="159">
        <f t="shared" si="0"/>
        <v>104000</v>
      </c>
    </row>
    <row r="30" spans="2:16" s="3" customFormat="1" ht="18" customHeight="1">
      <c r="B30" s="262" t="s">
        <v>103</v>
      </c>
      <c r="C30" s="263"/>
      <c r="D30" s="264"/>
      <c r="E30" s="217" t="s">
        <v>89</v>
      </c>
      <c r="F30" s="248"/>
      <c r="G30" s="157">
        <f>Hoja1!E5*Hoja1!C2</f>
        <v>1700</v>
      </c>
      <c r="H30" s="157" t="s">
        <v>100</v>
      </c>
      <c r="I30" s="158">
        <v>1000</v>
      </c>
      <c r="J30" s="160">
        <f t="shared" si="0"/>
        <v>1700000</v>
      </c>
      <c r="P30" s="22"/>
    </row>
    <row r="31" spans="2:11" ht="18" customHeight="1">
      <c r="B31" s="284" t="s">
        <v>21</v>
      </c>
      <c r="C31" s="285"/>
      <c r="D31" s="285"/>
      <c r="E31" s="285"/>
      <c r="F31" s="285"/>
      <c r="G31" s="285"/>
      <c r="H31" s="285"/>
      <c r="I31" s="285"/>
      <c r="J31" s="140">
        <f>SUM(J24:J30)</f>
        <v>2220000</v>
      </c>
      <c r="K31" s="12"/>
    </row>
    <row r="32" spans="2:11" s="3" customFormat="1" ht="18" customHeight="1">
      <c r="B32" s="80"/>
      <c r="C32" s="80"/>
      <c r="D32" s="80"/>
      <c r="E32" s="80"/>
      <c r="F32" s="80"/>
      <c r="G32" s="21"/>
      <c r="H32" s="80"/>
      <c r="I32" s="80"/>
      <c r="J32" s="23"/>
      <c r="K32" s="12"/>
    </row>
    <row r="33" spans="2:11" s="24" customFormat="1" ht="18" customHeight="1">
      <c r="B33" s="282" t="s">
        <v>22</v>
      </c>
      <c r="C33" s="283"/>
      <c r="D33" s="283"/>
      <c r="E33" s="271"/>
      <c r="F33" s="271"/>
      <c r="G33" s="119"/>
      <c r="H33" s="120"/>
      <c r="I33" s="121"/>
      <c r="J33" s="179"/>
      <c r="K33" s="12"/>
    </row>
    <row r="34" spans="2:11" s="3" customFormat="1" ht="18" customHeight="1">
      <c r="B34" s="272" t="s">
        <v>82</v>
      </c>
      <c r="C34" s="273"/>
      <c r="D34" s="273"/>
      <c r="E34" s="286" t="s">
        <v>90</v>
      </c>
      <c r="F34" s="287"/>
      <c r="G34" s="161">
        <v>1</v>
      </c>
      <c r="H34" s="162" t="s">
        <v>48</v>
      </c>
      <c r="I34" s="155">
        <v>50000</v>
      </c>
      <c r="J34" s="156">
        <f aca="true" t="shared" si="1" ref="J34:J41">G34*I34</f>
        <v>50000</v>
      </c>
      <c r="K34" s="12"/>
    </row>
    <row r="35" spans="2:11" s="3" customFormat="1" ht="18" customHeight="1">
      <c r="B35" s="194" t="s">
        <v>83</v>
      </c>
      <c r="C35" s="195"/>
      <c r="D35" s="195"/>
      <c r="E35" s="217" t="s">
        <v>90</v>
      </c>
      <c r="F35" s="248"/>
      <c r="G35" s="163">
        <v>2</v>
      </c>
      <c r="H35" s="157" t="s">
        <v>48</v>
      </c>
      <c r="I35" s="158">
        <v>25000</v>
      </c>
      <c r="J35" s="159">
        <f t="shared" si="1"/>
        <v>50000</v>
      </c>
      <c r="K35" s="12"/>
    </row>
    <row r="36" spans="2:11" s="3" customFormat="1" ht="18" customHeight="1">
      <c r="B36" s="262" t="s">
        <v>91</v>
      </c>
      <c r="C36" s="263"/>
      <c r="D36" s="264"/>
      <c r="E36" s="217" t="s">
        <v>68</v>
      </c>
      <c r="F36" s="248"/>
      <c r="G36" s="163">
        <v>2</v>
      </c>
      <c r="H36" s="157" t="s">
        <v>48</v>
      </c>
      <c r="I36" s="158">
        <v>25000</v>
      </c>
      <c r="J36" s="159">
        <f t="shared" si="1"/>
        <v>50000</v>
      </c>
      <c r="K36" s="12"/>
    </row>
    <row r="37" spans="2:11" s="3" customFormat="1" ht="18" customHeight="1">
      <c r="B37" s="262" t="s">
        <v>44</v>
      </c>
      <c r="C37" s="263"/>
      <c r="D37" s="264"/>
      <c r="E37" s="217" t="s">
        <v>68</v>
      </c>
      <c r="F37" s="248"/>
      <c r="G37" s="163">
        <v>2</v>
      </c>
      <c r="H37" s="157" t="s">
        <v>48</v>
      </c>
      <c r="I37" s="158">
        <v>4000</v>
      </c>
      <c r="J37" s="159">
        <f t="shared" si="1"/>
        <v>8000</v>
      </c>
      <c r="K37" s="12"/>
    </row>
    <row r="38" spans="2:11" s="3" customFormat="1" ht="18" customHeight="1">
      <c r="B38" s="262" t="s">
        <v>59</v>
      </c>
      <c r="C38" s="263"/>
      <c r="D38" s="264"/>
      <c r="E38" s="217" t="s">
        <v>68</v>
      </c>
      <c r="F38" s="248"/>
      <c r="G38" s="163">
        <v>3</v>
      </c>
      <c r="H38" s="157" t="s">
        <v>48</v>
      </c>
      <c r="I38" s="158">
        <v>15000</v>
      </c>
      <c r="J38" s="159">
        <f t="shared" si="1"/>
        <v>45000</v>
      </c>
      <c r="K38" s="12"/>
    </row>
    <row r="39" spans="2:11" s="3" customFormat="1" ht="18" customHeight="1">
      <c r="B39" s="183" t="s">
        <v>75</v>
      </c>
      <c r="C39" s="184"/>
      <c r="D39" s="185"/>
      <c r="E39" s="217" t="s">
        <v>92</v>
      </c>
      <c r="F39" s="248"/>
      <c r="G39" s="163">
        <v>2</v>
      </c>
      <c r="H39" s="157" t="s">
        <v>48</v>
      </c>
      <c r="I39" s="158">
        <v>20000</v>
      </c>
      <c r="J39" s="159">
        <f t="shared" si="1"/>
        <v>40000</v>
      </c>
      <c r="K39" s="12"/>
    </row>
    <row r="40" spans="2:11" s="3" customFormat="1" ht="18" customHeight="1">
      <c r="B40" s="262" t="s">
        <v>60</v>
      </c>
      <c r="C40" s="263"/>
      <c r="D40" s="264"/>
      <c r="E40" s="217" t="s">
        <v>49</v>
      </c>
      <c r="F40" s="248"/>
      <c r="G40" s="163">
        <v>1</v>
      </c>
      <c r="H40" s="157" t="s">
        <v>48</v>
      </c>
      <c r="I40" s="158">
        <v>30000</v>
      </c>
      <c r="J40" s="159">
        <f t="shared" si="1"/>
        <v>30000</v>
      </c>
      <c r="K40" s="12"/>
    </row>
    <row r="41" spans="2:11" s="3" customFormat="1" ht="18" customHeight="1">
      <c r="B41" s="180" t="s">
        <v>94</v>
      </c>
      <c r="C41" s="181"/>
      <c r="D41" s="181"/>
      <c r="E41" s="217" t="s">
        <v>89</v>
      </c>
      <c r="F41" s="248"/>
      <c r="G41" s="163">
        <f>Hoja1!E6*Hoja1!C2</f>
        <v>1700</v>
      </c>
      <c r="H41" s="157" t="s">
        <v>100</v>
      </c>
      <c r="I41" s="158">
        <v>100</v>
      </c>
      <c r="J41" s="160">
        <f t="shared" si="1"/>
        <v>170000</v>
      </c>
      <c r="K41" s="12"/>
    </row>
    <row r="42" spans="2:11" ht="18" customHeight="1">
      <c r="B42" s="284" t="s">
        <v>23</v>
      </c>
      <c r="C42" s="285"/>
      <c r="D42" s="285"/>
      <c r="E42" s="285"/>
      <c r="F42" s="285"/>
      <c r="G42" s="285"/>
      <c r="H42" s="285"/>
      <c r="I42" s="285"/>
      <c r="J42" s="140">
        <f>SUM(J34:J41)</f>
        <v>443000</v>
      </c>
      <c r="K42" s="12"/>
    </row>
    <row r="43" spans="2:11" s="3" customFormat="1" ht="18" customHeight="1">
      <c r="B43" s="80"/>
      <c r="C43" s="80"/>
      <c r="D43" s="80"/>
      <c r="E43" s="80"/>
      <c r="F43" s="80"/>
      <c r="G43" s="21"/>
      <c r="H43" s="80"/>
      <c r="I43" s="80"/>
      <c r="J43" s="23"/>
      <c r="K43" s="12"/>
    </row>
    <row r="44" spans="2:11" s="3" customFormat="1" ht="18" customHeight="1">
      <c r="B44" s="282" t="s">
        <v>115</v>
      </c>
      <c r="C44" s="283"/>
      <c r="D44" s="283"/>
      <c r="E44" s="271"/>
      <c r="F44" s="271"/>
      <c r="G44" s="119"/>
      <c r="H44" s="120"/>
      <c r="I44" s="121"/>
      <c r="J44" s="122"/>
      <c r="K44" s="12"/>
    </row>
    <row r="45" spans="2:11" s="3" customFormat="1" ht="18" customHeight="1">
      <c r="B45" s="215" t="s">
        <v>108</v>
      </c>
      <c r="C45" s="216"/>
      <c r="D45" s="216"/>
      <c r="E45" s="217" t="s">
        <v>95</v>
      </c>
      <c r="F45" s="218"/>
      <c r="G45" s="157">
        <v>15000</v>
      </c>
      <c r="H45" s="165" t="s">
        <v>84</v>
      </c>
      <c r="I45" s="7">
        <v>40</v>
      </c>
      <c r="J45" s="207">
        <f aca="true" t="shared" si="2" ref="J45:J64">G45*I45</f>
        <v>600000</v>
      </c>
      <c r="K45" s="12"/>
    </row>
    <row r="46" spans="2:11" s="3" customFormat="1" ht="18" customHeight="1">
      <c r="B46" s="197"/>
      <c r="C46" s="198"/>
      <c r="D46" s="198"/>
      <c r="E46" s="201"/>
      <c r="F46" s="204"/>
      <c r="G46" s="157"/>
      <c r="H46" s="165"/>
      <c r="I46" s="7"/>
      <c r="J46" s="208"/>
      <c r="K46" s="12"/>
    </row>
    <row r="47" spans="2:11" s="3" customFormat="1" ht="18" customHeight="1">
      <c r="B47" s="312" t="s">
        <v>116</v>
      </c>
      <c r="C47" s="313" t="s">
        <v>61</v>
      </c>
      <c r="D47" s="313" t="s">
        <v>61</v>
      </c>
      <c r="E47" s="217"/>
      <c r="F47" s="218"/>
      <c r="G47" s="205"/>
      <c r="H47" s="166"/>
      <c r="I47" s="7"/>
      <c r="J47" s="208"/>
      <c r="K47" s="12"/>
    </row>
    <row r="48" spans="2:11" s="3" customFormat="1" ht="18" customHeight="1">
      <c r="B48" s="215" t="s">
        <v>111</v>
      </c>
      <c r="C48" s="216"/>
      <c r="D48" s="216"/>
      <c r="E48" s="217" t="s">
        <v>88</v>
      </c>
      <c r="F48" s="218"/>
      <c r="G48" s="157">
        <v>250</v>
      </c>
      <c r="H48" s="165" t="s">
        <v>47</v>
      </c>
      <c r="I48" s="7">
        <v>380</v>
      </c>
      <c r="J48" s="208">
        <f t="shared" si="2"/>
        <v>95000</v>
      </c>
      <c r="K48" s="12"/>
    </row>
    <row r="49" spans="2:11" s="3" customFormat="1" ht="18" customHeight="1">
      <c r="B49" s="215" t="s">
        <v>62</v>
      </c>
      <c r="C49" s="216" t="s">
        <v>63</v>
      </c>
      <c r="D49" s="216" t="s">
        <v>63</v>
      </c>
      <c r="E49" s="217" t="s">
        <v>88</v>
      </c>
      <c r="F49" s="218"/>
      <c r="G49" s="157">
        <v>200</v>
      </c>
      <c r="H49" s="165" t="s">
        <v>47</v>
      </c>
      <c r="I49" s="7">
        <v>390</v>
      </c>
      <c r="J49" s="208">
        <f>G49*I49</f>
        <v>78000</v>
      </c>
      <c r="K49" s="12"/>
    </row>
    <row r="50" spans="2:11" s="3" customFormat="1" ht="18" customHeight="1">
      <c r="B50" s="197" t="s">
        <v>110</v>
      </c>
      <c r="C50" s="198"/>
      <c r="D50" s="198"/>
      <c r="E50" s="217" t="s">
        <v>81</v>
      </c>
      <c r="F50" s="218"/>
      <c r="G50" s="157">
        <v>200</v>
      </c>
      <c r="H50" s="165" t="s">
        <v>47</v>
      </c>
      <c r="I50" s="7">
        <v>590</v>
      </c>
      <c r="J50" s="208">
        <f t="shared" si="2"/>
        <v>118000</v>
      </c>
      <c r="K50" s="12"/>
    </row>
    <row r="51" spans="2:11" s="3" customFormat="1" ht="18" customHeight="1">
      <c r="B51" s="197"/>
      <c r="C51" s="198"/>
      <c r="D51" s="198"/>
      <c r="E51" s="201"/>
      <c r="F51" s="204"/>
      <c r="G51" s="157"/>
      <c r="H51" s="165"/>
      <c r="I51" s="7"/>
      <c r="J51" s="208"/>
      <c r="K51" s="12"/>
    </row>
    <row r="52" spans="2:11" s="3" customFormat="1" ht="18" customHeight="1">
      <c r="B52" s="296" t="s">
        <v>45</v>
      </c>
      <c r="C52" s="297" t="s">
        <v>64</v>
      </c>
      <c r="D52" s="298" t="s">
        <v>64</v>
      </c>
      <c r="E52" s="217"/>
      <c r="F52" s="218"/>
      <c r="G52" s="206"/>
      <c r="H52" s="167"/>
      <c r="I52" s="77"/>
      <c r="J52" s="208"/>
      <c r="K52" s="12"/>
    </row>
    <row r="53" spans="2:11" s="3" customFormat="1" ht="18" customHeight="1">
      <c r="B53" s="199" t="s">
        <v>104</v>
      </c>
      <c r="C53" s="200"/>
      <c r="D53" s="200"/>
      <c r="E53" s="217" t="s">
        <v>88</v>
      </c>
      <c r="F53" s="218"/>
      <c r="G53" s="157">
        <v>1</v>
      </c>
      <c r="H53" s="165" t="s">
        <v>42</v>
      </c>
      <c r="I53" s="7">
        <v>29000</v>
      </c>
      <c r="J53" s="208">
        <f t="shared" si="2"/>
        <v>29000</v>
      </c>
      <c r="K53" s="12"/>
    </row>
    <row r="54" spans="2:11" s="3" customFormat="1" ht="18" customHeight="1">
      <c r="B54" s="199" t="s">
        <v>76</v>
      </c>
      <c r="C54" s="200"/>
      <c r="D54" s="200"/>
      <c r="E54" s="217" t="s">
        <v>96</v>
      </c>
      <c r="F54" s="218"/>
      <c r="G54" s="157">
        <v>4</v>
      </c>
      <c r="H54" s="165" t="s">
        <v>42</v>
      </c>
      <c r="I54" s="7">
        <v>9900</v>
      </c>
      <c r="J54" s="208">
        <f t="shared" si="2"/>
        <v>39600</v>
      </c>
      <c r="K54" s="12"/>
    </row>
    <row r="55" spans="2:11" s="3" customFormat="1" ht="18" customHeight="1">
      <c r="B55" s="199" t="s">
        <v>77</v>
      </c>
      <c r="C55" s="200"/>
      <c r="D55" s="200"/>
      <c r="E55" s="217" t="s">
        <v>81</v>
      </c>
      <c r="F55" s="218"/>
      <c r="G55" s="157">
        <v>1.5</v>
      </c>
      <c r="H55" s="165" t="s">
        <v>47</v>
      </c>
      <c r="I55" s="7">
        <v>36700</v>
      </c>
      <c r="J55" s="208">
        <f t="shared" si="2"/>
        <v>55050</v>
      </c>
      <c r="K55" s="12"/>
    </row>
    <row r="56" spans="2:11" s="3" customFormat="1" ht="18">
      <c r="B56" s="176"/>
      <c r="C56" s="177"/>
      <c r="D56" s="177"/>
      <c r="E56" s="201"/>
      <c r="F56" s="204"/>
      <c r="G56" s="157"/>
      <c r="H56" s="165"/>
      <c r="I56" s="7"/>
      <c r="J56" s="208"/>
      <c r="K56" s="12"/>
    </row>
    <row r="57" spans="2:11" s="3" customFormat="1" ht="18">
      <c r="B57" s="178" t="s">
        <v>46</v>
      </c>
      <c r="C57" s="177"/>
      <c r="D57" s="177"/>
      <c r="E57" s="217"/>
      <c r="F57" s="218"/>
      <c r="G57" s="157"/>
      <c r="H57" s="165"/>
      <c r="I57" s="7"/>
      <c r="J57" s="208"/>
      <c r="K57" s="12"/>
    </row>
    <row r="58" spans="2:11" s="3" customFormat="1" ht="18">
      <c r="B58" s="262" t="s">
        <v>65</v>
      </c>
      <c r="C58" s="263"/>
      <c r="D58" s="263"/>
      <c r="E58" s="217" t="s">
        <v>68</v>
      </c>
      <c r="F58" s="218"/>
      <c r="G58" s="157">
        <v>1</v>
      </c>
      <c r="H58" s="165" t="s">
        <v>42</v>
      </c>
      <c r="I58" s="7">
        <v>75000</v>
      </c>
      <c r="J58" s="208">
        <f t="shared" si="2"/>
        <v>75000</v>
      </c>
      <c r="K58" s="12"/>
    </row>
    <row r="59" spans="2:11" s="3" customFormat="1" ht="18">
      <c r="B59" s="194" t="s">
        <v>105</v>
      </c>
      <c r="C59" s="195"/>
      <c r="D59" s="195"/>
      <c r="E59" s="217" t="s">
        <v>97</v>
      </c>
      <c r="F59" s="218"/>
      <c r="G59" s="157">
        <v>1</v>
      </c>
      <c r="H59" s="165" t="s">
        <v>42</v>
      </c>
      <c r="I59" s="7">
        <v>75500</v>
      </c>
      <c r="J59" s="208">
        <f t="shared" si="2"/>
        <v>75500</v>
      </c>
      <c r="K59" s="12"/>
    </row>
    <row r="60" spans="2:11" s="3" customFormat="1" ht="18">
      <c r="B60" s="144"/>
      <c r="C60" s="145"/>
      <c r="D60" s="145"/>
      <c r="E60" s="201"/>
      <c r="F60" s="204"/>
      <c r="G60" s="157"/>
      <c r="H60" s="165"/>
      <c r="I60" s="7"/>
      <c r="J60" s="208"/>
      <c r="K60" s="12"/>
    </row>
    <row r="61" spans="2:11" s="3" customFormat="1" ht="18">
      <c r="B61" s="269" t="s">
        <v>43</v>
      </c>
      <c r="C61" s="270"/>
      <c r="D61" s="270"/>
      <c r="E61" s="217"/>
      <c r="F61" s="218"/>
      <c r="G61" s="157"/>
      <c r="H61" s="165"/>
      <c r="I61" s="7"/>
      <c r="J61" s="208"/>
      <c r="K61" s="12"/>
    </row>
    <row r="62" spans="2:11" s="3" customFormat="1" ht="18">
      <c r="B62" s="194" t="s">
        <v>106</v>
      </c>
      <c r="C62" s="193"/>
      <c r="D62" s="193"/>
      <c r="E62" s="217" t="s">
        <v>98</v>
      </c>
      <c r="F62" s="218"/>
      <c r="G62" s="157">
        <v>3</v>
      </c>
      <c r="H62" s="165" t="s">
        <v>42</v>
      </c>
      <c r="I62" s="7">
        <v>9500</v>
      </c>
      <c r="J62" s="208">
        <f t="shared" si="2"/>
        <v>28500</v>
      </c>
      <c r="K62" s="12"/>
    </row>
    <row r="63" spans="2:11" s="3" customFormat="1" ht="18">
      <c r="B63" s="194" t="s">
        <v>107</v>
      </c>
      <c r="C63" s="193"/>
      <c r="D63" s="193"/>
      <c r="E63" s="217" t="s">
        <v>98</v>
      </c>
      <c r="F63" s="218"/>
      <c r="G63" s="157">
        <v>3</v>
      </c>
      <c r="H63" s="165" t="s">
        <v>42</v>
      </c>
      <c r="I63" s="7">
        <v>8000</v>
      </c>
      <c r="J63" s="208">
        <f t="shared" si="2"/>
        <v>24000</v>
      </c>
      <c r="K63" s="12"/>
    </row>
    <row r="64" spans="2:11" s="3" customFormat="1" ht="18">
      <c r="B64" s="146" t="s">
        <v>93</v>
      </c>
      <c r="C64" s="147"/>
      <c r="D64" s="147"/>
      <c r="E64" s="244" t="s">
        <v>99</v>
      </c>
      <c r="F64" s="245"/>
      <c r="G64" s="202">
        <v>1</v>
      </c>
      <c r="H64" s="168" t="s">
        <v>67</v>
      </c>
      <c r="I64" s="73">
        <v>25000</v>
      </c>
      <c r="J64" s="189">
        <f t="shared" si="2"/>
        <v>25000</v>
      </c>
      <c r="K64" s="12"/>
    </row>
    <row r="65" spans="2:11" s="3" customFormat="1" ht="18">
      <c r="B65" s="260" t="s">
        <v>24</v>
      </c>
      <c r="C65" s="261"/>
      <c r="D65" s="261"/>
      <c r="E65" s="261"/>
      <c r="F65" s="261"/>
      <c r="G65" s="261"/>
      <c r="H65" s="261"/>
      <c r="I65" s="261"/>
      <c r="J65" s="164">
        <f>SUM(J45:J64)</f>
        <v>1242650</v>
      </c>
      <c r="K65" s="12"/>
    </row>
    <row r="66" spans="2:12" ht="18" customHeight="1">
      <c r="B66" s="25"/>
      <c r="C66" s="25"/>
      <c r="D66" s="25"/>
      <c r="E66" s="25"/>
      <c r="F66" s="25"/>
      <c r="G66" s="26"/>
      <c r="H66" s="25"/>
      <c r="I66" s="25"/>
      <c r="J66" s="27"/>
      <c r="K66" s="12"/>
      <c r="L66" s="12"/>
    </row>
    <row r="67" spans="2:17" s="3" customFormat="1" ht="18" customHeight="1">
      <c r="B67" s="246" t="s">
        <v>25</v>
      </c>
      <c r="C67" s="247"/>
      <c r="D67" s="247"/>
      <c r="E67" s="247"/>
      <c r="F67" s="247"/>
      <c r="G67" s="247"/>
      <c r="H67" s="247"/>
      <c r="I67" s="247"/>
      <c r="J67" s="96">
        <f>J31+J42+J65</f>
        <v>3905650</v>
      </c>
      <c r="K67" s="12"/>
      <c r="L67" s="12"/>
      <c r="Q67" s="3" t="s">
        <v>69</v>
      </c>
    </row>
    <row r="68" spans="2:14" ht="18" customHeight="1">
      <c r="B68" s="81"/>
      <c r="C68" s="81"/>
      <c r="D68" s="81"/>
      <c r="E68" s="81"/>
      <c r="F68" s="81"/>
      <c r="G68" s="28"/>
      <c r="H68" s="81"/>
      <c r="I68" s="81"/>
      <c r="J68" s="23"/>
      <c r="K68" s="12"/>
      <c r="L68" s="12"/>
      <c r="M68" s="6"/>
      <c r="N68" s="6"/>
    </row>
    <row r="69" spans="2:12" s="3" customFormat="1" ht="18" customHeight="1">
      <c r="B69" s="135" t="s">
        <v>56</v>
      </c>
      <c r="C69" s="133"/>
      <c r="D69" s="133"/>
      <c r="E69" s="16"/>
      <c r="F69" s="16"/>
      <c r="G69" s="17"/>
      <c r="H69" s="18"/>
      <c r="I69" s="19"/>
      <c r="J69" s="19"/>
      <c r="K69" s="12"/>
      <c r="L69" s="12"/>
    </row>
    <row r="70" spans="2:12" s="3" customFormat="1" ht="18" customHeight="1">
      <c r="B70" s="299" t="s">
        <v>55</v>
      </c>
      <c r="C70" s="271"/>
      <c r="D70" s="271"/>
      <c r="E70" s="271" t="s">
        <v>16</v>
      </c>
      <c r="F70" s="271"/>
      <c r="G70" s="119" t="s">
        <v>17</v>
      </c>
      <c r="H70" s="120" t="s">
        <v>18</v>
      </c>
      <c r="I70" s="121" t="s">
        <v>19</v>
      </c>
      <c r="J70" s="122" t="s">
        <v>3</v>
      </c>
      <c r="K70" s="12"/>
      <c r="L70" s="12"/>
    </row>
    <row r="71" spans="2:12" s="3" customFormat="1" ht="18" customHeight="1">
      <c r="B71" s="134" t="s">
        <v>57</v>
      </c>
      <c r="C71" s="74"/>
      <c r="D71" s="75"/>
      <c r="E71" s="217" t="s">
        <v>49</v>
      </c>
      <c r="F71" s="248"/>
      <c r="G71" s="143">
        <v>0.05</v>
      </c>
      <c r="H71" s="5" t="s">
        <v>1</v>
      </c>
      <c r="I71" s="7"/>
      <c r="J71" s="7">
        <f>J67*G71</f>
        <v>195282.5</v>
      </c>
      <c r="K71" s="12"/>
      <c r="L71" s="12"/>
    </row>
    <row r="72" spans="2:11" s="3" customFormat="1" ht="18" customHeight="1">
      <c r="B72" s="262" t="s">
        <v>117</v>
      </c>
      <c r="C72" s="263"/>
      <c r="D72" s="264"/>
      <c r="E72" s="217" t="s">
        <v>49</v>
      </c>
      <c r="F72" s="248"/>
      <c r="G72" s="141">
        <f>E18</f>
        <v>0.015</v>
      </c>
      <c r="H72" s="5" t="s">
        <v>1</v>
      </c>
      <c r="I72" s="142"/>
      <c r="J72" s="7">
        <f>E18*E19*E20*J67</f>
        <v>146461.875</v>
      </c>
      <c r="K72" s="12"/>
    </row>
    <row r="73" spans="2:13" s="3" customFormat="1" ht="18" customHeight="1">
      <c r="B73" s="262" t="s">
        <v>27</v>
      </c>
      <c r="C73" s="263"/>
      <c r="D73" s="264"/>
      <c r="E73" s="225"/>
      <c r="F73" s="226"/>
      <c r="G73" s="97"/>
      <c r="H73" s="97"/>
      <c r="I73" s="97"/>
      <c r="J73" s="99"/>
      <c r="K73" s="12"/>
      <c r="L73" s="263"/>
      <c r="M73" s="263"/>
    </row>
    <row r="74" spans="2:12" s="3" customFormat="1" ht="18" customHeight="1">
      <c r="B74" s="262" t="s">
        <v>2</v>
      </c>
      <c r="C74" s="263"/>
      <c r="D74" s="264"/>
      <c r="E74" s="225"/>
      <c r="F74" s="226"/>
      <c r="G74" s="97"/>
      <c r="H74" s="97"/>
      <c r="I74" s="97"/>
      <c r="J74" s="99"/>
      <c r="K74" s="12"/>
      <c r="L74" s="12"/>
    </row>
    <row r="75" spans="2:12" s="3" customFormat="1" ht="18" customHeight="1">
      <c r="B75" s="291" t="s">
        <v>28</v>
      </c>
      <c r="C75" s="292"/>
      <c r="D75" s="293"/>
      <c r="E75" s="310"/>
      <c r="F75" s="311"/>
      <c r="G75" s="98"/>
      <c r="H75" s="98"/>
      <c r="I75" s="98"/>
      <c r="J75" s="100"/>
      <c r="K75" s="12"/>
      <c r="L75" s="12"/>
    </row>
    <row r="76" spans="2:12" s="3" customFormat="1" ht="18" customHeight="1">
      <c r="B76" s="289" t="s">
        <v>52</v>
      </c>
      <c r="C76" s="290"/>
      <c r="D76" s="290"/>
      <c r="E76" s="290"/>
      <c r="F76" s="290"/>
      <c r="G76" s="290"/>
      <c r="H76" s="290"/>
      <c r="I76" s="290"/>
      <c r="J76" s="140">
        <f>SUM(J71:J75)</f>
        <v>341744.375</v>
      </c>
      <c r="K76" s="12"/>
      <c r="L76" s="12"/>
    </row>
    <row r="77" spans="2:12" ht="18" customHeight="1">
      <c r="B77" s="80"/>
      <c r="C77" s="80"/>
      <c r="D77" s="80"/>
      <c r="E77" s="80"/>
      <c r="F77" s="80"/>
      <c r="G77" s="21"/>
      <c r="H77" s="80"/>
      <c r="I77" s="80"/>
      <c r="J77" s="23"/>
      <c r="K77" s="12"/>
      <c r="L77" s="12"/>
    </row>
    <row r="78" spans="2:11" s="3" customFormat="1" ht="18" customHeight="1">
      <c r="B78" s="294" t="s">
        <v>29</v>
      </c>
      <c r="C78" s="295"/>
      <c r="D78" s="295"/>
      <c r="E78" s="295"/>
      <c r="F78" s="295"/>
      <c r="G78" s="295"/>
      <c r="H78" s="295"/>
      <c r="I78" s="295"/>
      <c r="J78" s="252">
        <f>J67+J76</f>
        <v>4247394.375</v>
      </c>
      <c r="K78" s="12"/>
    </row>
    <row r="79" spans="2:11" ht="18" customHeight="1">
      <c r="B79" s="289"/>
      <c r="C79" s="290"/>
      <c r="D79" s="290"/>
      <c r="E79" s="290"/>
      <c r="F79" s="290"/>
      <c r="G79" s="290"/>
      <c r="H79" s="290"/>
      <c r="I79" s="290"/>
      <c r="J79" s="253"/>
      <c r="K79" s="12"/>
    </row>
    <row r="80" spans="2:11" s="3" customFormat="1" ht="18" customHeight="1">
      <c r="B80" s="80"/>
      <c r="C80" s="80"/>
      <c r="D80" s="80"/>
      <c r="E80" s="80"/>
      <c r="F80" s="80"/>
      <c r="G80" s="21"/>
      <c r="H80" s="80"/>
      <c r="I80" s="80"/>
      <c r="J80" s="23"/>
      <c r="K80" s="12"/>
    </row>
    <row r="81" spans="2:11" s="3" customFormat="1" ht="18" customHeight="1">
      <c r="B81" s="80"/>
      <c r="C81" s="80"/>
      <c r="D81" s="80"/>
      <c r="E81" s="80"/>
      <c r="F81" s="80"/>
      <c r="G81" s="21"/>
      <c r="H81" s="80"/>
      <c r="I81" s="80"/>
      <c r="J81" s="23"/>
      <c r="K81" s="12"/>
    </row>
    <row r="82" spans="2:11" s="3" customFormat="1" ht="18" customHeight="1">
      <c r="B82" s="229" t="s">
        <v>30</v>
      </c>
      <c r="C82" s="230"/>
      <c r="D82" s="230"/>
      <c r="E82" s="230"/>
      <c r="F82" s="230"/>
      <c r="G82" s="230"/>
      <c r="H82" s="230"/>
      <c r="I82" s="230"/>
      <c r="J82" s="231"/>
      <c r="K82" s="12"/>
    </row>
    <row r="83" spans="2:11" ht="18" customHeight="1">
      <c r="B83" s="249" t="s">
        <v>118</v>
      </c>
      <c r="C83" s="250"/>
      <c r="D83" s="250"/>
      <c r="E83" s="250"/>
      <c r="F83" s="250"/>
      <c r="G83" s="250"/>
      <c r="H83" s="250"/>
      <c r="I83" s="250"/>
      <c r="J83" s="251"/>
      <c r="K83" s="12"/>
    </row>
    <row r="84" spans="2:11" ht="18" customHeight="1">
      <c r="B84" s="303" t="s">
        <v>85</v>
      </c>
      <c r="C84" s="303"/>
      <c r="D84" s="303"/>
      <c r="E84" s="307" t="s">
        <v>86</v>
      </c>
      <c r="F84" s="308"/>
      <c r="G84" s="308"/>
      <c r="H84" s="308"/>
      <c r="I84" s="308"/>
      <c r="J84" s="309"/>
      <c r="K84" s="12"/>
    </row>
    <row r="85" spans="2:11" s="3" customFormat="1" ht="18" customHeight="1">
      <c r="B85" s="303"/>
      <c r="C85" s="303"/>
      <c r="D85" s="303"/>
      <c r="E85" s="221">
        <f>G85*0.9</f>
        <v>3150</v>
      </c>
      <c r="F85" s="221"/>
      <c r="G85" s="306">
        <f>E16</f>
        <v>3500</v>
      </c>
      <c r="H85" s="306"/>
      <c r="I85" s="221">
        <f>G85*1.1</f>
        <v>3850.0000000000005</v>
      </c>
      <c r="J85" s="221"/>
      <c r="K85" s="12"/>
    </row>
    <row r="86" spans="2:11" s="3" customFormat="1" ht="18" customHeight="1">
      <c r="B86" s="221">
        <f>B87*0.9</f>
        <v>1530</v>
      </c>
      <c r="C86" s="221"/>
      <c r="D86" s="221"/>
      <c r="E86" s="240">
        <f>E$85*$B$86-Hoja1!$C$40</f>
        <v>789413.0625</v>
      </c>
      <c r="F86" s="240"/>
      <c r="G86" s="240">
        <f>G$85*$B$86-Hoja1!$C$40</f>
        <v>1324913.0625</v>
      </c>
      <c r="H86" s="240"/>
      <c r="I86" s="240">
        <f>I$85*$B$86-Hoja1!$C$40</f>
        <v>1860413.062500001</v>
      </c>
      <c r="J86" s="240"/>
      <c r="K86" s="12"/>
    </row>
    <row r="87" spans="2:11" s="3" customFormat="1" ht="18" customHeight="1">
      <c r="B87" s="221">
        <f>E15</f>
        <v>1700</v>
      </c>
      <c r="C87" s="221"/>
      <c r="D87" s="221"/>
      <c r="E87" s="240">
        <f>E$85*$B$87-$J$78</f>
        <v>1107605.625</v>
      </c>
      <c r="F87" s="240"/>
      <c r="G87" s="240">
        <f>G$85*$B$87-$J$78</f>
        <v>1702605.625</v>
      </c>
      <c r="H87" s="240"/>
      <c r="I87" s="240">
        <f>I$85*$B$87-$J$78</f>
        <v>2297605.625000001</v>
      </c>
      <c r="J87" s="240"/>
      <c r="K87" s="12"/>
    </row>
    <row r="88" spans="2:11" s="3" customFormat="1" ht="18" customHeight="1">
      <c r="B88" s="221">
        <f>B87*1.1</f>
        <v>1870.0000000000002</v>
      </c>
      <c r="C88" s="221"/>
      <c r="D88" s="221"/>
      <c r="E88" s="240">
        <f>E$85*$B$88-Hoja1!$D$40</f>
        <v>1403932.437500001</v>
      </c>
      <c r="F88" s="240"/>
      <c r="G88" s="240">
        <f>G$85*$B$88-Hoja1!$D$40</f>
        <v>2058432.437500001</v>
      </c>
      <c r="H88" s="240"/>
      <c r="I88" s="240">
        <f>I$85*$B$88-Hoja1!$D$40</f>
        <v>2712932.437500002</v>
      </c>
      <c r="J88" s="240"/>
      <c r="K88" s="12"/>
    </row>
    <row r="89" spans="2:11" s="3" customFormat="1" ht="18" customHeight="1">
      <c r="B89" s="30"/>
      <c r="C89" s="30"/>
      <c r="D89" s="31"/>
      <c r="E89" s="31"/>
      <c r="F89" s="31"/>
      <c r="G89" s="32"/>
      <c r="H89" s="8"/>
      <c r="I89" s="11"/>
      <c r="J89" s="11"/>
      <c r="K89" s="12"/>
    </row>
    <row r="90" spans="2:11" s="3" customFormat="1" ht="18" customHeight="1">
      <c r="B90" s="254" t="s">
        <v>119</v>
      </c>
      <c r="C90" s="255"/>
      <c r="D90" s="255"/>
      <c r="E90" s="255"/>
      <c r="F90" s="255"/>
      <c r="G90" s="255"/>
      <c r="H90" s="255"/>
      <c r="I90" s="255"/>
      <c r="J90" s="256"/>
      <c r="K90" s="12"/>
    </row>
    <row r="91" spans="2:11" s="3" customFormat="1" ht="18" customHeight="1">
      <c r="B91" s="257"/>
      <c r="C91" s="258"/>
      <c r="D91" s="258"/>
      <c r="E91" s="258"/>
      <c r="F91" s="258"/>
      <c r="G91" s="258"/>
      <c r="H91" s="258"/>
      <c r="I91" s="258"/>
      <c r="J91" s="259"/>
      <c r="K91" s="12"/>
    </row>
    <row r="92" spans="2:11" s="3" customFormat="1" ht="18" customHeight="1">
      <c r="B92" s="227" t="s">
        <v>85</v>
      </c>
      <c r="C92" s="219"/>
      <c r="D92" s="219"/>
      <c r="E92" s="219">
        <f>B86</f>
        <v>1530</v>
      </c>
      <c r="F92" s="219"/>
      <c r="G92" s="219">
        <f>E15</f>
        <v>1700</v>
      </c>
      <c r="H92" s="219"/>
      <c r="I92" s="219">
        <f>B88</f>
        <v>1870.0000000000002</v>
      </c>
      <c r="J92" s="304"/>
      <c r="K92" s="12"/>
    </row>
    <row r="93" spans="2:11" s="3" customFormat="1" ht="18" customHeight="1">
      <c r="B93" s="228"/>
      <c r="C93" s="220"/>
      <c r="D93" s="220"/>
      <c r="E93" s="220"/>
      <c r="F93" s="220"/>
      <c r="G93" s="220"/>
      <c r="H93" s="220"/>
      <c r="I93" s="220"/>
      <c r="J93" s="305"/>
      <c r="K93" s="12"/>
    </row>
    <row r="94" spans="2:11" ht="18" customHeight="1">
      <c r="B94" s="236" t="s">
        <v>127</v>
      </c>
      <c r="C94" s="237"/>
      <c r="D94" s="237"/>
      <c r="E94" s="300">
        <f>Hoja1!C40/Botado!E92</f>
        <v>2634.04375</v>
      </c>
      <c r="F94" s="300"/>
      <c r="G94" s="232">
        <f>$J$78/G92</f>
        <v>2498.4672794117646</v>
      </c>
      <c r="H94" s="232"/>
      <c r="I94" s="300">
        <f>Hoja1!D40/Botado!I92</f>
        <v>2399.233990641711</v>
      </c>
      <c r="J94" s="301"/>
      <c r="K94" s="12"/>
    </row>
    <row r="95" spans="2:11" ht="18" customHeight="1">
      <c r="B95" s="238"/>
      <c r="C95" s="239"/>
      <c r="D95" s="239"/>
      <c r="E95" s="232"/>
      <c r="F95" s="232"/>
      <c r="G95" s="232"/>
      <c r="H95" s="232"/>
      <c r="I95" s="232"/>
      <c r="J95" s="302"/>
      <c r="K95" s="12"/>
    </row>
    <row r="96" spans="2:11" ht="18" customHeight="1">
      <c r="B96" s="39"/>
      <c r="C96" s="1"/>
      <c r="D96" s="3"/>
      <c r="E96" s="3"/>
      <c r="F96" s="102"/>
      <c r="G96" s="102"/>
      <c r="H96" s="102"/>
      <c r="I96" s="11"/>
      <c r="J96" s="11"/>
      <c r="K96" s="12"/>
    </row>
    <row r="97" spans="2:11" ht="18">
      <c r="B97" s="233" t="s">
        <v>31</v>
      </c>
      <c r="C97" s="234"/>
      <c r="D97" s="234"/>
      <c r="E97" s="234"/>
      <c r="F97" s="234"/>
      <c r="G97" s="234"/>
      <c r="H97" s="234"/>
      <c r="I97" s="234"/>
      <c r="J97" s="235"/>
      <c r="K97" s="12"/>
    </row>
    <row r="98" spans="2:11" ht="18" customHeight="1">
      <c r="B98" s="212" t="s">
        <v>124</v>
      </c>
      <c r="C98" s="213"/>
      <c r="D98" s="213"/>
      <c r="E98" s="213"/>
      <c r="F98" s="213"/>
      <c r="G98" s="213"/>
      <c r="H98" s="213"/>
      <c r="I98" s="213"/>
      <c r="J98" s="214"/>
      <c r="K98" s="12"/>
    </row>
    <row r="99" spans="2:11" s="3" customFormat="1" ht="41.25" customHeight="1">
      <c r="B99" s="222" t="s">
        <v>120</v>
      </c>
      <c r="C99" s="223"/>
      <c r="D99" s="223"/>
      <c r="E99" s="223"/>
      <c r="F99" s="223"/>
      <c r="G99" s="223"/>
      <c r="H99" s="223"/>
      <c r="I99" s="223"/>
      <c r="J99" s="224"/>
      <c r="K99" s="78"/>
    </row>
    <row r="100" spans="2:11" s="3" customFormat="1" ht="52.5" customHeight="1">
      <c r="B100" s="222" t="s">
        <v>121</v>
      </c>
      <c r="C100" s="223"/>
      <c r="D100" s="223"/>
      <c r="E100" s="223"/>
      <c r="F100" s="223"/>
      <c r="G100" s="223"/>
      <c r="H100" s="223"/>
      <c r="I100" s="223"/>
      <c r="J100" s="224"/>
      <c r="K100" s="78"/>
    </row>
    <row r="101" spans="2:11" s="3" customFormat="1" ht="20.25" customHeight="1">
      <c r="B101" s="212" t="s">
        <v>122</v>
      </c>
      <c r="C101" s="213"/>
      <c r="D101" s="213"/>
      <c r="E101" s="213"/>
      <c r="F101" s="213"/>
      <c r="G101" s="213"/>
      <c r="H101" s="213"/>
      <c r="I101" s="213"/>
      <c r="J101" s="214"/>
      <c r="K101" s="79"/>
    </row>
    <row r="102" spans="2:11" s="3" customFormat="1" ht="16.5" customHeight="1">
      <c r="B102" s="222" t="s">
        <v>125</v>
      </c>
      <c r="C102" s="223"/>
      <c r="D102" s="223"/>
      <c r="E102" s="223"/>
      <c r="F102" s="223"/>
      <c r="G102" s="223"/>
      <c r="H102" s="223"/>
      <c r="I102" s="223"/>
      <c r="J102" s="224"/>
      <c r="K102" s="78"/>
    </row>
    <row r="103" spans="2:11" s="3" customFormat="1" ht="18">
      <c r="B103" s="222" t="s">
        <v>66</v>
      </c>
      <c r="C103" s="223"/>
      <c r="D103" s="223"/>
      <c r="E103" s="223"/>
      <c r="F103" s="223"/>
      <c r="G103" s="223"/>
      <c r="H103" s="223"/>
      <c r="I103" s="223"/>
      <c r="J103" s="224"/>
      <c r="K103" s="78"/>
    </row>
    <row r="104" spans="2:11" s="3" customFormat="1" ht="18" customHeight="1">
      <c r="B104" s="241" t="s">
        <v>123</v>
      </c>
      <c r="C104" s="242"/>
      <c r="D104" s="242"/>
      <c r="E104" s="242"/>
      <c r="F104" s="242"/>
      <c r="G104" s="242"/>
      <c r="H104" s="242"/>
      <c r="I104" s="242"/>
      <c r="J104" s="243"/>
      <c r="K104" s="29"/>
    </row>
    <row r="105" spans="2:11" s="3" customFormat="1" ht="18" customHeight="1">
      <c r="B105" s="209"/>
      <c r="C105" s="209"/>
      <c r="D105" s="209"/>
      <c r="E105" s="209"/>
      <c r="F105" s="209"/>
      <c r="G105" s="209"/>
      <c r="H105" s="209"/>
      <c r="I105" s="209"/>
      <c r="J105" s="209"/>
      <c r="K105" s="29"/>
    </row>
    <row r="106" spans="2:11" s="3" customFormat="1" ht="18" customHeight="1">
      <c r="B106" s="169"/>
      <c r="C106" s="170"/>
      <c r="D106" s="170"/>
      <c r="E106" s="170"/>
      <c r="F106" s="170"/>
      <c r="G106" s="171"/>
      <c r="H106" s="170"/>
      <c r="I106" s="170"/>
      <c r="K106" s="6"/>
    </row>
    <row r="107" spans="3:11" s="3" customFormat="1" ht="18.75" customHeight="1">
      <c r="C107" s="172"/>
      <c r="D107" s="172"/>
      <c r="E107" s="172"/>
      <c r="F107" s="172"/>
      <c r="G107" s="173"/>
      <c r="H107" s="172"/>
      <c r="I107" s="172"/>
      <c r="J107" s="172"/>
      <c r="K107" s="6"/>
    </row>
    <row r="108" spans="2:11" s="3" customFormat="1" ht="18.75" customHeight="1">
      <c r="B108" s="169"/>
      <c r="C108" s="172"/>
      <c r="D108" s="172"/>
      <c r="E108" s="172"/>
      <c r="F108" s="172"/>
      <c r="G108" s="173"/>
      <c r="H108" s="172"/>
      <c r="I108" s="172"/>
      <c r="J108" s="172"/>
      <c r="K108" s="33"/>
    </row>
    <row r="109" spans="2:11" s="3" customFormat="1" ht="18.75" customHeight="1">
      <c r="B109" s="169"/>
      <c r="C109" s="172"/>
      <c r="D109" s="172"/>
      <c r="E109" s="172"/>
      <c r="F109" s="172"/>
      <c r="G109" s="173"/>
      <c r="H109" s="172"/>
      <c r="I109" s="172"/>
      <c r="J109" s="172"/>
      <c r="K109" s="6"/>
    </row>
    <row r="110" spans="2:11" s="3" customFormat="1" ht="18.75" customHeight="1">
      <c r="B110" s="174"/>
      <c r="C110" s="174"/>
      <c r="D110" s="174"/>
      <c r="E110" s="174"/>
      <c r="F110" s="174"/>
      <c r="G110" s="175"/>
      <c r="H110" s="174"/>
      <c r="I110" s="174"/>
      <c r="J110" s="174"/>
      <c r="K110" s="6"/>
    </row>
    <row r="111" spans="2:11" s="3" customFormat="1" ht="15">
      <c r="B111" s="60"/>
      <c r="C111" s="60"/>
      <c r="D111" s="60"/>
      <c r="E111" s="60"/>
      <c r="F111" s="60"/>
      <c r="G111" s="61"/>
      <c r="H111" s="60"/>
      <c r="I111" s="60"/>
      <c r="J111" s="60"/>
      <c r="K111" s="62"/>
    </row>
    <row r="112" spans="2:11" s="3" customFormat="1" ht="15">
      <c r="B112" s="60"/>
      <c r="C112" s="60"/>
      <c r="D112" s="60"/>
      <c r="E112" s="60"/>
      <c r="F112" s="60"/>
      <c r="G112" s="61"/>
      <c r="H112" s="60"/>
      <c r="I112" s="60"/>
      <c r="J112" s="60"/>
      <c r="K112" s="62"/>
    </row>
    <row r="113" spans="2:11" s="3" customFormat="1" ht="15">
      <c r="B113" s="60"/>
      <c r="C113" s="60"/>
      <c r="D113" s="60"/>
      <c r="E113" s="60"/>
      <c r="F113" s="60"/>
      <c r="G113" s="61"/>
      <c r="H113" s="60"/>
      <c r="I113" s="60"/>
      <c r="J113" s="60"/>
      <c r="K113" s="62"/>
    </row>
    <row r="114" spans="2:11" s="3" customFormat="1" ht="18">
      <c r="B114" s="49"/>
      <c r="C114" s="49"/>
      <c r="D114" s="50"/>
      <c r="E114" s="50"/>
      <c r="F114" s="51"/>
      <c r="G114" s="51"/>
      <c r="H114" s="51"/>
      <c r="I114" s="60"/>
      <c r="J114" s="60"/>
      <c r="K114" s="62"/>
    </row>
    <row r="115" spans="2:11" ht="18">
      <c r="B115" s="49"/>
      <c r="C115" s="52"/>
      <c r="D115" s="52"/>
      <c r="E115" s="53"/>
      <c r="F115" s="52"/>
      <c r="G115" s="54"/>
      <c r="H115" s="55"/>
      <c r="I115" s="60"/>
      <c r="J115" s="60"/>
      <c r="K115" s="62"/>
    </row>
    <row r="116" spans="2:11" ht="18">
      <c r="B116" s="50"/>
      <c r="C116" s="50"/>
      <c r="D116" s="50"/>
      <c r="E116" s="50"/>
      <c r="F116" s="50"/>
      <c r="G116" s="50"/>
      <c r="H116" s="50"/>
      <c r="I116" s="60"/>
      <c r="J116" s="60"/>
      <c r="K116" s="62"/>
    </row>
    <row r="117" spans="2:11" ht="18">
      <c r="B117" s="49"/>
      <c r="C117" s="50"/>
      <c r="D117" s="50"/>
      <c r="E117" s="50"/>
      <c r="F117" s="50"/>
      <c r="G117" s="50"/>
      <c r="H117" s="50"/>
      <c r="I117" s="60"/>
      <c r="J117" s="60"/>
      <c r="K117" s="62"/>
    </row>
    <row r="118" spans="2:11" ht="18">
      <c r="B118" s="63"/>
      <c r="C118" s="64"/>
      <c r="D118" s="64"/>
      <c r="E118" s="56"/>
      <c r="F118" s="56"/>
      <c r="G118" s="56"/>
      <c r="H118" s="56"/>
      <c r="I118" s="60"/>
      <c r="J118" s="62"/>
      <c r="K118" s="62"/>
    </row>
    <row r="119" spans="2:11" ht="18">
      <c r="B119" s="63"/>
      <c r="C119" s="64"/>
      <c r="D119" s="64"/>
      <c r="E119" s="56"/>
      <c r="F119" s="56"/>
      <c r="G119" s="56"/>
      <c r="H119" s="56"/>
      <c r="I119" s="60"/>
      <c r="J119" s="62"/>
      <c r="K119" s="62"/>
    </row>
    <row r="120" spans="2:11" ht="18">
      <c r="B120" s="57"/>
      <c r="C120" s="58"/>
      <c r="D120" s="58"/>
      <c r="E120" s="57"/>
      <c r="F120" s="57"/>
      <c r="G120" s="57"/>
      <c r="H120" s="59"/>
      <c r="I120" s="60"/>
      <c r="J120" s="60"/>
      <c r="K120" s="62"/>
    </row>
    <row r="121" spans="2:11" ht="18">
      <c r="B121" s="50"/>
      <c r="C121" s="50"/>
      <c r="D121" s="50"/>
      <c r="E121" s="50"/>
      <c r="F121" s="50"/>
      <c r="G121" s="50"/>
      <c r="H121" s="50"/>
      <c r="I121" s="60"/>
      <c r="J121" s="60"/>
      <c r="K121" s="62"/>
    </row>
    <row r="122" spans="2:11" ht="18">
      <c r="B122" s="49"/>
      <c r="C122" s="50"/>
      <c r="D122" s="50"/>
      <c r="E122" s="50"/>
      <c r="F122" s="50"/>
      <c r="G122" s="50"/>
      <c r="H122" s="50"/>
      <c r="I122" s="60"/>
      <c r="J122" s="60"/>
      <c r="K122" s="62"/>
    </row>
    <row r="123" spans="2:11" ht="18">
      <c r="B123" s="65"/>
      <c r="C123" s="66"/>
      <c r="D123" s="67"/>
      <c r="E123" s="68"/>
      <c r="F123" s="67"/>
      <c r="G123" s="69"/>
      <c r="H123" s="69"/>
      <c r="I123" s="60"/>
      <c r="J123" s="60"/>
      <c r="K123" s="62"/>
    </row>
    <row r="124" spans="2:11" ht="18">
      <c r="B124" s="65"/>
      <c r="C124" s="66"/>
      <c r="D124" s="67"/>
      <c r="E124" s="68"/>
      <c r="F124" s="67"/>
      <c r="G124" s="69"/>
      <c r="H124" s="69"/>
      <c r="I124" s="60"/>
      <c r="J124" s="60"/>
      <c r="K124" s="62"/>
    </row>
    <row r="125" spans="2:11" ht="18">
      <c r="B125" s="288"/>
      <c r="C125" s="288"/>
      <c r="D125" s="67"/>
      <c r="E125" s="68"/>
      <c r="F125" s="67"/>
      <c r="G125" s="69"/>
      <c r="H125" s="69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65"/>
      <c r="C128" s="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65"/>
      <c r="C133" s="66"/>
      <c r="D133" s="67"/>
      <c r="E133" s="68"/>
      <c r="F133" s="67"/>
      <c r="G133" s="69"/>
      <c r="H133" s="69"/>
      <c r="I133" s="60"/>
      <c r="J133" s="60"/>
      <c r="K133" s="62"/>
    </row>
    <row r="134" spans="2:11" ht="18">
      <c r="B134" s="65"/>
      <c r="C134" s="66"/>
      <c r="D134" s="67"/>
      <c r="E134" s="68"/>
      <c r="F134" s="67"/>
      <c r="G134" s="69"/>
      <c r="H134" s="69"/>
      <c r="I134" s="60"/>
      <c r="J134" s="60"/>
      <c r="K134" s="62"/>
    </row>
    <row r="135" spans="2:11" ht="18">
      <c r="B135" s="65"/>
      <c r="C135" s="66"/>
      <c r="D135" s="67"/>
      <c r="E135" s="68"/>
      <c r="F135" s="67"/>
      <c r="G135" s="69"/>
      <c r="H135" s="69"/>
      <c r="I135" s="60"/>
      <c r="J135" s="60"/>
      <c r="K135" s="62"/>
    </row>
    <row r="136" spans="2:11" ht="18">
      <c r="B136" s="57"/>
      <c r="C136" s="58"/>
      <c r="D136" s="58"/>
      <c r="E136" s="57"/>
      <c r="F136" s="57"/>
      <c r="G136" s="57"/>
      <c r="H136" s="59"/>
      <c r="I136" s="60"/>
      <c r="J136" s="60"/>
      <c r="K136" s="62"/>
    </row>
    <row r="137" spans="2:11" ht="18">
      <c r="B137" s="50"/>
      <c r="C137" s="50"/>
      <c r="D137" s="50"/>
      <c r="E137" s="50"/>
      <c r="F137" s="50"/>
      <c r="G137" s="50"/>
      <c r="H137" s="50"/>
      <c r="I137" s="60"/>
      <c r="J137" s="60"/>
      <c r="K137" s="62"/>
    </row>
    <row r="138" spans="2:11" ht="18">
      <c r="B138" s="57"/>
      <c r="C138" s="58"/>
      <c r="D138" s="58"/>
      <c r="E138" s="57"/>
      <c r="F138" s="57"/>
      <c r="G138" s="57"/>
      <c r="H138" s="59"/>
      <c r="I138" s="60"/>
      <c r="J138" s="60"/>
      <c r="K138" s="62"/>
    </row>
    <row r="139" spans="2:11" ht="15">
      <c r="B139" s="60"/>
      <c r="C139" s="60"/>
      <c r="D139" s="60"/>
      <c r="E139" s="60"/>
      <c r="F139" s="60"/>
      <c r="G139" s="61"/>
      <c r="H139" s="60"/>
      <c r="I139" s="60"/>
      <c r="J139" s="60"/>
      <c r="K139" s="62"/>
    </row>
    <row r="140" spans="2:11" s="3" customFormat="1" ht="15">
      <c r="B140" s="60"/>
      <c r="C140" s="60"/>
      <c r="D140" s="60"/>
      <c r="E140" s="60"/>
      <c r="F140" s="60"/>
      <c r="G140" s="61"/>
      <c r="H140" s="60"/>
      <c r="I140" s="60"/>
      <c r="J140" s="60"/>
      <c r="K140" s="62"/>
    </row>
    <row r="141" spans="2:11" s="3" customFormat="1" ht="15">
      <c r="B141" s="60"/>
      <c r="C141" s="60"/>
      <c r="D141" s="60"/>
      <c r="E141" s="60"/>
      <c r="F141" s="60"/>
      <c r="G141" s="61"/>
      <c r="H141" s="60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60"/>
      <c r="C146" s="60"/>
      <c r="D146" s="60"/>
      <c r="E146" s="60"/>
      <c r="F146" s="6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70"/>
      <c r="C149" s="70"/>
      <c r="D149" s="70"/>
      <c r="E149" s="70"/>
      <c r="F149" s="70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60"/>
      <c r="C152" s="62"/>
      <c r="D152" s="62"/>
      <c r="E152" s="62"/>
      <c r="F152" s="62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0"/>
      <c r="D155" s="60"/>
      <c r="E155" s="60"/>
      <c r="F155" s="60"/>
      <c r="G155" s="61"/>
      <c r="H155" s="60"/>
      <c r="I155" s="60"/>
      <c r="J155" s="60"/>
      <c r="K155" s="62"/>
    </row>
    <row r="156" spans="2:11" s="3" customFormat="1" ht="15">
      <c r="B156" s="60"/>
      <c r="C156" s="60"/>
      <c r="D156" s="60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2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2"/>
      <c r="D159" s="62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0"/>
      <c r="J160" s="60"/>
      <c r="K160" s="62"/>
    </row>
    <row r="161" spans="2:11" s="3" customFormat="1" ht="15">
      <c r="B161" s="60"/>
      <c r="C161" s="60"/>
      <c r="D161" s="60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0"/>
      <c r="D162" s="60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1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0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0"/>
      <c r="C169" s="60"/>
      <c r="D169" s="60"/>
      <c r="E169" s="60"/>
      <c r="F169" s="60"/>
      <c r="G169" s="61"/>
      <c r="H169" s="60"/>
      <c r="I169" s="60"/>
      <c r="J169" s="60"/>
      <c r="K169" s="62"/>
    </row>
    <row r="170" spans="2:11" s="3" customFormat="1" ht="15">
      <c r="B170" s="60"/>
      <c r="C170" s="60"/>
      <c r="D170" s="60"/>
      <c r="E170" s="60"/>
      <c r="F170" s="60"/>
      <c r="G170" s="61"/>
      <c r="H170" s="60"/>
      <c r="I170" s="60"/>
      <c r="J170" s="60"/>
      <c r="K170" s="62"/>
    </row>
    <row r="171" spans="2:11" s="3" customFormat="1" ht="15">
      <c r="B171" s="60"/>
      <c r="C171" s="60"/>
      <c r="D171" s="60"/>
      <c r="E171" s="60"/>
      <c r="F171" s="60"/>
      <c r="G171" s="61"/>
      <c r="H171" s="60"/>
      <c r="I171" s="60"/>
      <c r="J171" s="60"/>
      <c r="K171" s="62"/>
    </row>
    <row r="172" spans="2:11" s="3" customFormat="1" ht="15">
      <c r="B172" s="62"/>
      <c r="C172" s="62"/>
      <c r="D172" s="62"/>
      <c r="E172" s="62"/>
      <c r="F172" s="62"/>
      <c r="G172" s="62"/>
      <c r="H172" s="62"/>
      <c r="I172" s="62"/>
      <c r="J172" s="60"/>
      <c r="K172" s="62"/>
    </row>
    <row r="173" spans="2:11" s="3" customFormat="1" ht="15">
      <c r="B173" s="62"/>
      <c r="C173" s="62"/>
      <c r="D173" s="62"/>
      <c r="E173" s="62"/>
      <c r="F173" s="62"/>
      <c r="G173" s="71"/>
      <c r="H173" s="62"/>
      <c r="I173" s="62"/>
      <c r="J173" s="60"/>
      <c r="K173" s="62"/>
    </row>
    <row r="174" spans="2:11" s="3" customFormat="1" ht="15">
      <c r="B174" s="62"/>
      <c r="C174" s="62"/>
      <c r="D174" s="62"/>
      <c r="E174" s="62"/>
      <c r="F174" s="62"/>
      <c r="G174" s="62"/>
      <c r="H174" s="62"/>
      <c r="I174" s="72"/>
      <c r="J174" s="60"/>
      <c r="K174" s="62"/>
    </row>
    <row r="175" spans="2:11" s="3" customFormat="1" ht="15">
      <c r="B175" s="60"/>
      <c r="C175" s="60"/>
      <c r="D175" s="60"/>
      <c r="E175" s="60"/>
      <c r="F175" s="60"/>
      <c r="G175" s="61"/>
      <c r="H175" s="60"/>
      <c r="I175" s="60"/>
      <c r="J175" s="60"/>
      <c r="K175" s="62"/>
    </row>
    <row r="176" spans="2:11" s="3" customFormat="1" ht="15">
      <c r="B176" s="60"/>
      <c r="C176" s="60"/>
      <c r="D176" s="60"/>
      <c r="E176" s="60"/>
      <c r="F176" s="60"/>
      <c r="G176" s="61"/>
      <c r="H176" s="60"/>
      <c r="I176" s="60"/>
      <c r="J176" s="60"/>
      <c r="K176" s="62"/>
    </row>
    <row r="177" spans="2:11" s="3" customFormat="1" ht="15">
      <c r="B177" s="60"/>
      <c r="C177" s="60"/>
      <c r="D177" s="60"/>
      <c r="E177" s="60"/>
      <c r="F177" s="60"/>
      <c r="G177" s="61"/>
      <c r="H177" s="60"/>
      <c r="I177" s="60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0"/>
      <c r="I178" s="60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0"/>
      <c r="I179" s="60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0"/>
      <c r="I180" s="60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2"/>
      <c r="I181" s="62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2"/>
      <c r="I182" s="62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2"/>
      <c r="I183" s="62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0"/>
      <c r="I184" s="60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0"/>
      <c r="I185" s="60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0"/>
      <c r="I186" s="60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0"/>
      <c r="I187" s="60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0"/>
      <c r="I188" s="60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0"/>
      <c r="I189" s="60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2"/>
      <c r="I190" s="62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2"/>
      <c r="I191" s="62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2"/>
      <c r="I192" s="62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0"/>
      <c r="I193" s="60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0"/>
      <c r="I194" s="60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0"/>
      <c r="I195" s="60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s="3" customFormat="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s="3" customFormat="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s="3" customFormat="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s="3" customFormat="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  <row r="315" spans="2:11" ht="15">
      <c r="B315" s="60"/>
      <c r="C315" s="60"/>
      <c r="D315" s="60"/>
      <c r="E315" s="60"/>
      <c r="F315" s="60"/>
      <c r="G315" s="61"/>
      <c r="H315" s="60"/>
      <c r="I315" s="60"/>
      <c r="J315" s="60"/>
      <c r="K315" s="62"/>
    </row>
    <row r="316" spans="2:11" ht="15">
      <c r="B316" s="60"/>
      <c r="C316" s="60"/>
      <c r="D316" s="60"/>
      <c r="E316" s="60"/>
      <c r="F316" s="60"/>
      <c r="G316" s="61"/>
      <c r="H316" s="60"/>
      <c r="I316" s="60"/>
      <c r="J316" s="60"/>
      <c r="K316" s="62"/>
    </row>
    <row r="317" spans="2:11" ht="15">
      <c r="B317" s="60"/>
      <c r="C317" s="60"/>
      <c r="D317" s="60"/>
      <c r="E317" s="60"/>
      <c r="F317" s="60"/>
      <c r="G317" s="61"/>
      <c r="H317" s="60"/>
      <c r="I317" s="60"/>
      <c r="J317" s="60"/>
      <c r="K317" s="62"/>
    </row>
    <row r="318" ht="15">
      <c r="K318" s="62"/>
    </row>
  </sheetData>
  <sheetProtection/>
  <mergeCells count="117">
    <mergeCell ref="B42:I42"/>
    <mergeCell ref="E50:F50"/>
    <mergeCell ref="B44:D44"/>
    <mergeCell ref="E75:F75"/>
    <mergeCell ref="E57:F57"/>
    <mergeCell ref="B58:D58"/>
    <mergeCell ref="E59:F59"/>
    <mergeCell ref="B47:D47"/>
    <mergeCell ref="E47:F47"/>
    <mergeCell ref="B45:D45"/>
    <mergeCell ref="E39:F39"/>
    <mergeCell ref="G87:H87"/>
    <mergeCell ref="G88:H88"/>
    <mergeCell ref="E44:F44"/>
    <mergeCell ref="E54:F54"/>
    <mergeCell ref="G85:H85"/>
    <mergeCell ref="E84:J84"/>
    <mergeCell ref="E88:F88"/>
    <mergeCell ref="E62:F62"/>
    <mergeCell ref="E63:F63"/>
    <mergeCell ref="I94:J95"/>
    <mergeCell ref="B87:D87"/>
    <mergeCell ref="B84:D85"/>
    <mergeCell ref="I92:J93"/>
    <mergeCell ref="E94:F95"/>
    <mergeCell ref="G86:H86"/>
    <mergeCell ref="E86:F86"/>
    <mergeCell ref="I86:J86"/>
    <mergeCell ref="E87:F87"/>
    <mergeCell ref="E85:F85"/>
    <mergeCell ref="E45:F45"/>
    <mergeCell ref="B86:D86"/>
    <mergeCell ref="B52:D52"/>
    <mergeCell ref="E61:F61"/>
    <mergeCell ref="B70:D70"/>
    <mergeCell ref="E70:F70"/>
    <mergeCell ref="E53:F53"/>
    <mergeCell ref="B40:D40"/>
    <mergeCell ref="E40:F40"/>
    <mergeCell ref="B125:C125"/>
    <mergeCell ref="B72:D72"/>
    <mergeCell ref="L73:M73"/>
    <mergeCell ref="B74:D74"/>
    <mergeCell ref="B73:D73"/>
    <mergeCell ref="B76:I76"/>
    <mergeCell ref="B75:D75"/>
    <mergeCell ref="B78:I79"/>
    <mergeCell ref="B103:J103"/>
    <mergeCell ref="E41:F41"/>
    <mergeCell ref="E25:F25"/>
    <mergeCell ref="E30:F30"/>
    <mergeCell ref="E37:F37"/>
    <mergeCell ref="E28:F28"/>
    <mergeCell ref="E36:F36"/>
    <mergeCell ref="E35:F35"/>
    <mergeCell ref="E26:F26"/>
    <mergeCell ref="E27:F27"/>
    <mergeCell ref="B31:I31"/>
    <mergeCell ref="E23:F23"/>
    <mergeCell ref="E24:F24"/>
    <mergeCell ref="E29:F29"/>
    <mergeCell ref="B37:D37"/>
    <mergeCell ref="B34:D34"/>
    <mergeCell ref="E34:F34"/>
    <mergeCell ref="B36:D36"/>
    <mergeCell ref="B33:D33"/>
    <mergeCell ref="B27:D27"/>
    <mergeCell ref="E33:F33"/>
    <mergeCell ref="B24:D24"/>
    <mergeCell ref="B2:J2"/>
    <mergeCell ref="E3:G3"/>
    <mergeCell ref="B14:E14"/>
    <mergeCell ref="G14:J14"/>
    <mergeCell ref="D4:H4"/>
    <mergeCell ref="B16:D16"/>
    <mergeCell ref="B23:D23"/>
    <mergeCell ref="B25:D25"/>
    <mergeCell ref="B38:D38"/>
    <mergeCell ref="E38:F38"/>
    <mergeCell ref="B30:D30"/>
    <mergeCell ref="E22:F22"/>
    <mergeCell ref="D6:J6"/>
    <mergeCell ref="B102:J102"/>
    <mergeCell ref="E58:F58"/>
    <mergeCell ref="B61:D61"/>
    <mergeCell ref="I87:J87"/>
    <mergeCell ref="E72:F72"/>
    <mergeCell ref="B104:J104"/>
    <mergeCell ref="E64:F64"/>
    <mergeCell ref="B67:I67"/>
    <mergeCell ref="E71:F71"/>
    <mergeCell ref="B83:J83"/>
    <mergeCell ref="J78:J79"/>
    <mergeCell ref="E73:F73"/>
    <mergeCell ref="I85:J85"/>
    <mergeCell ref="B90:J91"/>
    <mergeCell ref="B65:I65"/>
    <mergeCell ref="B101:J101"/>
    <mergeCell ref="B99:J99"/>
    <mergeCell ref="E74:F74"/>
    <mergeCell ref="B92:D93"/>
    <mergeCell ref="B82:J82"/>
    <mergeCell ref="G94:H95"/>
    <mergeCell ref="B100:J100"/>
    <mergeCell ref="B97:J97"/>
    <mergeCell ref="B94:D95"/>
    <mergeCell ref="I88:J88"/>
    <mergeCell ref="B98:J98"/>
    <mergeCell ref="B48:D48"/>
    <mergeCell ref="E48:F48"/>
    <mergeCell ref="B49:D49"/>
    <mergeCell ref="E49:F49"/>
    <mergeCell ref="E52:F52"/>
    <mergeCell ref="E55:F55"/>
    <mergeCell ref="G92:H93"/>
    <mergeCell ref="E92:F93"/>
    <mergeCell ref="B88:D8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="70" zoomScaleNormal="70" zoomScalePageLayoutView="0" workbookViewId="0" topLeftCell="A16">
      <selection activeCell="D28" sqref="D28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35</v>
      </c>
      <c r="C2" s="43">
        <f>((Botado!E15-1700)/1700)+1</f>
        <v>1</v>
      </c>
    </row>
    <row r="3" ht="18">
      <c r="B3" s="9"/>
    </row>
    <row r="4" spans="2:3" ht="18">
      <c r="B4" s="314" t="s">
        <v>36</v>
      </c>
      <c r="C4" s="314"/>
    </row>
    <row r="5" spans="2:6" ht="18">
      <c r="B5" s="262" t="s">
        <v>103</v>
      </c>
      <c r="C5" s="263"/>
      <c r="D5" s="264"/>
      <c r="E5" s="40">
        <v>1700</v>
      </c>
      <c r="F5" s="22"/>
    </row>
    <row r="6" spans="2:6" ht="18">
      <c r="B6" s="203" t="s">
        <v>94</v>
      </c>
      <c r="C6" s="191"/>
      <c r="D6" s="192"/>
      <c r="E6" s="40">
        <v>1700</v>
      </c>
      <c r="F6" s="22"/>
    </row>
    <row r="7" spans="2:6" ht="18">
      <c r="B7" s="186"/>
      <c r="C7" s="187"/>
      <c r="D7" s="188"/>
      <c r="E7" s="40"/>
      <c r="F7" s="22"/>
    </row>
    <row r="8" spans="2:6" ht="18">
      <c r="B8" s="190"/>
      <c r="C8" s="191"/>
      <c r="D8" s="192"/>
      <c r="E8" s="40"/>
      <c r="F8" s="22"/>
    </row>
    <row r="14" spans="2:4" ht="15">
      <c r="B14" s="315" t="s">
        <v>30</v>
      </c>
      <c r="C14" s="315"/>
      <c r="D14" s="315"/>
    </row>
    <row r="16" spans="2:4" ht="18">
      <c r="B16" s="42" t="s">
        <v>34</v>
      </c>
      <c r="C16" s="41">
        <f>Botado!B86</f>
        <v>1530</v>
      </c>
      <c r="D16" s="41">
        <f>Botado!B88</f>
        <v>1870.0000000000002</v>
      </c>
    </row>
    <row r="17" ht="15">
      <c r="B17" s="20"/>
    </row>
    <row r="18" spans="2:4" ht="15">
      <c r="B18" s="40" t="s">
        <v>35</v>
      </c>
      <c r="C18" s="43">
        <f>((C16-Botado!E15)/Botado!E15)+1</f>
        <v>0.9</v>
      </c>
      <c r="D18" s="43">
        <f>((D16-Botado!E15)/Botado!E15)+1</f>
        <v>1.1</v>
      </c>
    </row>
    <row r="19" spans="2:4" ht="18">
      <c r="B19" s="13"/>
      <c r="C19" s="41"/>
      <c r="D19" s="41"/>
    </row>
    <row r="20" spans="2:4" ht="18">
      <c r="B20" s="42" t="s">
        <v>20</v>
      </c>
      <c r="C20" s="41"/>
      <c r="D20" s="41"/>
    </row>
    <row r="21" spans="2:4" ht="18">
      <c r="B21" s="13" t="s">
        <v>37</v>
      </c>
      <c r="C21" s="6">
        <f>SUM(Botado!J24:J29)</f>
        <v>520000</v>
      </c>
      <c r="D21" s="6">
        <f>SUM(Botado!J24:J29)</f>
        <v>520000</v>
      </c>
    </row>
    <row r="22" spans="2:4" ht="18">
      <c r="B22" s="44" t="s">
        <v>38</v>
      </c>
      <c r="C22" s="45">
        <f>C18*Botado!G30*Botado!I30</f>
        <v>1530000</v>
      </c>
      <c r="D22" s="45">
        <f>D18*Botado!G30*Botado!I30</f>
        <v>1870000.0000000002</v>
      </c>
    </row>
    <row r="23" spans="2:4" ht="18">
      <c r="B23" s="13" t="s">
        <v>39</v>
      </c>
      <c r="C23" s="6">
        <f>SUM(C21:C22)</f>
        <v>2050000</v>
      </c>
      <c r="D23" s="6">
        <f>SUM(D21:D22)</f>
        <v>2390000</v>
      </c>
    </row>
    <row r="24" ht="18">
      <c r="B24" s="13"/>
    </row>
    <row r="25" ht="18">
      <c r="B25" s="42" t="s">
        <v>22</v>
      </c>
    </row>
    <row r="26" spans="2:4" ht="18">
      <c r="B26" s="13" t="s">
        <v>37</v>
      </c>
      <c r="C26" s="6">
        <f>SUM(Botado!J34:J40)</f>
        <v>273000</v>
      </c>
      <c r="D26" s="6">
        <f>SUM(Botado!J34:J40)</f>
        <v>273000</v>
      </c>
    </row>
    <row r="27" spans="2:4" ht="18">
      <c r="B27" s="44" t="s">
        <v>38</v>
      </c>
      <c r="C27" s="45">
        <f>C18*Botado!G41*Botado!I41</f>
        <v>153000</v>
      </c>
      <c r="D27" s="45">
        <f>D18*Botado!G41*Botado!I41</f>
        <v>187000.00000000003</v>
      </c>
    </row>
    <row r="28" spans="2:4" ht="18">
      <c r="B28" s="13" t="s">
        <v>39</v>
      </c>
      <c r="C28" s="6">
        <f>SUM(C26:C27)</f>
        <v>426000</v>
      </c>
      <c r="D28" s="6">
        <f>SUM(D26:D27)</f>
        <v>460000</v>
      </c>
    </row>
    <row r="30" ht="18">
      <c r="B30" s="42" t="s">
        <v>40</v>
      </c>
    </row>
    <row r="31" spans="2:4" ht="18">
      <c r="B31" s="13" t="s">
        <v>37</v>
      </c>
      <c r="C31" s="6">
        <f>SUM(Botado!J45:J64)</f>
        <v>1242650</v>
      </c>
      <c r="D31" s="6">
        <f>SUM(Botado!J45:J64)</f>
        <v>1242650</v>
      </c>
    </row>
    <row r="32" spans="2:4" ht="18">
      <c r="B32" s="44" t="s">
        <v>38</v>
      </c>
      <c r="C32" s="45">
        <v>0</v>
      </c>
      <c r="D32" s="45">
        <v>0</v>
      </c>
    </row>
    <row r="33" spans="2:4" ht="18">
      <c r="B33" s="13" t="s">
        <v>39</v>
      </c>
      <c r="C33" s="6">
        <f>SUM(C31:C32)</f>
        <v>1242650</v>
      </c>
      <c r="D33" s="6">
        <f>SUM(D31:D32)</f>
        <v>1242650</v>
      </c>
    </row>
    <row r="34" spans="2:4" ht="15">
      <c r="B34" s="20"/>
      <c r="C34" s="24"/>
      <c r="D34" s="24"/>
    </row>
    <row r="35" spans="2:4" ht="18">
      <c r="B35" s="47" t="s">
        <v>41</v>
      </c>
      <c r="C35" s="48">
        <f>C23+C28+C33</f>
        <v>3718650</v>
      </c>
      <c r="D35" s="48">
        <f>D23+D28+D33</f>
        <v>4092650</v>
      </c>
    </row>
    <row r="36" ht="15">
      <c r="B36" s="20"/>
    </row>
    <row r="37" spans="2:4" ht="18">
      <c r="B37" s="46" t="s">
        <v>0</v>
      </c>
      <c r="C37" s="6">
        <f>C35*Botado!G71</f>
        <v>185932.5</v>
      </c>
      <c r="D37" s="6">
        <f>D35*D18*Botado!G71</f>
        <v>225095.75</v>
      </c>
    </row>
    <row r="38" spans="2:4" ht="18">
      <c r="B38" s="46" t="s">
        <v>26</v>
      </c>
      <c r="C38" s="6">
        <f>C35*C18*Botado!E18*Botado!E19*Botado!E20</f>
        <v>125504.4375</v>
      </c>
      <c r="D38" s="6">
        <f>D35*D18*Botado!E18*Botado!E19*Botado!E20</f>
        <v>168821.81249999997</v>
      </c>
    </row>
    <row r="39" ht="15">
      <c r="B39" s="20"/>
    </row>
    <row r="40" spans="2:4" ht="18">
      <c r="B40" s="47" t="s">
        <v>29</v>
      </c>
      <c r="C40" s="48">
        <f>C35+C37+C38</f>
        <v>4030086.9375</v>
      </c>
      <c r="D40" s="48">
        <f>D35+D37+D38</f>
        <v>4486567.5625</v>
      </c>
    </row>
  </sheetData>
  <sheetProtection/>
  <mergeCells count="3">
    <mergeCell ref="B4:C4"/>
    <mergeCell ref="B14:D1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2014-04-03T20:06:17Z</cp:lastPrinted>
  <dcterms:created xsi:type="dcterms:W3CDTF">2012-07-09T18:51:50Z</dcterms:created>
  <dcterms:modified xsi:type="dcterms:W3CDTF">2014-04-04T16:53:14Z</dcterms:modified>
  <cp:category/>
  <cp:version/>
  <cp:contentType/>
  <cp:contentStatus/>
</cp:coreProperties>
</file>