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45" windowWidth="18810" windowHeight="7080" activeTab="0"/>
  </bookViews>
  <sheets>
    <sheet name="Lechuga" sheetId="1" r:id="rId1"/>
    <sheet name="Hoja1" sheetId="2" r:id="rId2"/>
  </sheets>
  <definedNames>
    <definedName name="_xlnm.Print_Area" localSheetId="0">'Lechuga'!$A$1:$K$106</definedName>
  </definedNames>
  <calcPr fullCalcOnLoad="1"/>
</workbook>
</file>

<file path=xl/sharedStrings.xml><?xml version="1.0" encoding="utf-8"?>
<sst xmlns="http://schemas.openxmlformats.org/spreadsheetml/2006/main" count="169" uniqueCount="123">
  <si>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</si>
  <si>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</si>
  <si>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</si>
  <si>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</si>
  <si>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</si>
  <si>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</si>
  <si>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</si>
  <si>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</si>
  <si>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</si>
  <si>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</si>
  <si>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</si>
  <si>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</si>
  <si>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</si>
  <si>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</si>
  <si>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</si>
  <si>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</si>
  <si>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</si>
  <si>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</si>
  <si>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</si>
  <si>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</si>
  <si>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</si>
  <si>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</si>
  <si>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</si>
  <si>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</si>
  <si>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</si>
  <si>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</si>
  <si>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</si>
  <si>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</si>
  <si>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</si>
  <si>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</si>
  <si>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</si>
  <si>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</si>
  <si>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Aradura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</si>
  <si>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</si>
  <si>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</si>
  <si>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</si>
  <si>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</si>
  <si>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</si>
  <si>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</si>
  <si>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</si>
  <si>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</si>
  <si>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</si>
  <si>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</si>
  <si>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</si>
  <si>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Acequiadora</t>
  </si>
  <si>
    <t>Fungicidas:</t>
  </si>
  <si>
    <t>Insecticidas:</t>
  </si>
  <si>
    <t>Kg</t>
  </si>
  <si>
    <t>ha</t>
  </si>
  <si>
    <t>Análisis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</si>
  <si>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</si>
  <si>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</si>
  <si>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</si>
  <si>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</si>
  <si>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</si>
  <si>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</si>
  <si>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</si>
  <si>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</si>
  <si>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</si>
  <si>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Cosecha, cortado, seleccionado y embalado</t>
  </si>
  <si>
    <t>Un</t>
  </si>
  <si>
    <t>Acarreo de insumos</t>
  </si>
  <si>
    <t xml:space="preserve"> -Fertilizantes:</t>
  </si>
  <si>
    <t>Otros</t>
  </si>
  <si>
    <t>Precio($/Un)</t>
  </si>
  <si>
    <t>Controles manual de malezas</t>
  </si>
  <si>
    <t>Región Valparaíso</t>
  </si>
  <si>
    <t>Enero-febrero</t>
  </si>
  <si>
    <t>Melgadura y fertilización</t>
  </si>
  <si>
    <t xml:space="preserve">  Agua de riego</t>
  </si>
  <si>
    <t xml:space="preserve">  Ridomil Gold MZ 68 WP </t>
  </si>
  <si>
    <t xml:space="preserve">  Karate Zeon</t>
  </si>
  <si>
    <t>1 hectárea mayo 2014</t>
  </si>
  <si>
    <t>Poroto granado</t>
  </si>
  <si>
    <t>Variedad: Cimarrón, Rubie</t>
  </si>
  <si>
    <t>Siembra: Octubre</t>
  </si>
  <si>
    <t>Cosecha: Enero-febrero</t>
  </si>
  <si>
    <t>Rendimiento (Kg/ha):</t>
  </si>
  <si>
    <t>Precio de venta a productor ($/Kg): (1)</t>
  </si>
  <si>
    <t xml:space="preserve"> </t>
  </si>
  <si>
    <t>Siembra</t>
  </si>
  <si>
    <t>Octubre</t>
  </si>
  <si>
    <t>Riegos</t>
  </si>
  <si>
    <t>Octubre-enero</t>
  </si>
  <si>
    <t>Noviembre</t>
  </si>
  <si>
    <t>Octubre-noviembre</t>
  </si>
  <si>
    <t>Septiembre</t>
  </si>
  <si>
    <t>Septiembre-octubre</t>
  </si>
  <si>
    <t>Acaricida:</t>
  </si>
  <si>
    <t>Insumos (c) (3)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</si>
  <si>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</si>
  <si>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 Análisis de suelo (fertilidad completa) (4)</t>
  </si>
  <si>
    <t>(4) La dosis de fertilización promedio podría variar de acuerdo a los resultados del análisis de suelo.</t>
  </si>
  <si>
    <t>(5) 1,5% mensual simple, tasa de interés promedio de las empresas distribuidoras de insumos</t>
  </si>
  <si>
    <t>Costo financiero (tasa de interés) (5)</t>
  </si>
  <si>
    <t>Análisis de sensibilidad (6)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</si>
  <si>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</si>
  <si>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</si>
  <si>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Precio ($/Kg)</t>
  </si>
  <si>
    <t>Rendimiento (Kg/ha)</t>
  </si>
  <si>
    <t>Cultivación y fertilización</t>
  </si>
  <si>
    <t>agosto</t>
  </si>
  <si>
    <t>Agosto-septiembre</t>
  </si>
  <si>
    <t>Noviembre-diciembre</t>
  </si>
  <si>
    <t>Junio-agosto</t>
  </si>
  <si>
    <t>Septiembre-enero</t>
  </si>
  <si>
    <t>Costo Unitario ($/Kg)</t>
  </si>
  <si>
    <t>Costo Unitario ($/Kg) (7)</t>
  </si>
  <si>
    <t xml:space="preserve">  Envases</t>
  </si>
  <si>
    <t>Tecnología: Media</t>
  </si>
  <si>
    <t>Tecnología de riego: Riego por surco</t>
  </si>
  <si>
    <t>Destino de producción: Consumo fresco</t>
  </si>
  <si>
    <t xml:space="preserve">  Semilla</t>
  </si>
  <si>
    <t xml:space="preserve">  Mezla hortalicera</t>
  </si>
  <si>
    <t xml:space="preserve">  Urea</t>
  </si>
  <si>
    <t xml:space="preserve">  Herbicida:</t>
  </si>
  <si>
    <t xml:space="preserve">  Basagran 480</t>
  </si>
  <si>
    <t xml:space="preserve">  Vertimec</t>
  </si>
  <si>
    <t xml:space="preserve">  Terrasorb foliar</t>
  </si>
  <si>
    <t>Cosecha (2)</t>
  </si>
  <si>
    <t>Aplicación fertilizantes</t>
  </si>
  <si>
    <t>(2) La cosecha corresponde a que los kilos cosechados de poroto son depósitados en lonas de 30 a 35 kilos. Estas son  retirada por los comprado res.</t>
  </si>
  <si>
    <t xml:space="preserve"> (1) El precio del kilo de poroto granado corresponde al promedio de las entrevistas (precio a productor) realizadas en los predios en la temporada 2013-2014. 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</si>
</sst>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72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73" fontId="10" fillId="34" borderId="15" xfId="56" applyNumberFormat="1" applyFont="1" applyFill="1" applyBorder="1" applyAlignment="1" applyProtection="1">
      <alignment horizontal="right"/>
      <protection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73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2" fillId="34" borderId="15" xfId="67" applyNumberFormat="1" applyFont="1" applyFill="1" applyBorder="1" applyAlignment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2" fillId="34" borderId="11" xfId="67" applyFont="1" applyFill="1" applyBorder="1" applyAlignment="1" applyProtection="1">
      <alignment/>
      <protection/>
    </xf>
    <xf numFmtId="172" fontId="10" fillId="34" borderId="16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172" fontId="62" fillId="34" borderId="17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6" xfId="55" applyFont="1" applyFill="1" applyBorder="1" applyAlignment="1">
      <alignment horizontal="left"/>
      <protection/>
    </xf>
    <xf numFmtId="173" fontId="10" fillId="34" borderId="13" xfId="67" applyNumberFormat="1" applyFont="1" applyFill="1" applyBorder="1" applyAlignment="1">
      <alignment horizontal="center"/>
      <protection/>
    </xf>
    <xf numFmtId="0" fontId="8" fillId="34" borderId="17" xfId="55" applyFont="1" applyFill="1" applyBorder="1">
      <alignment/>
      <protection/>
    </xf>
    <xf numFmtId="173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73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2" fillId="34" borderId="16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17" xfId="56" applyNumberFormat="1" applyFont="1" applyFill="1" applyBorder="1" applyAlignment="1">
      <alignment/>
      <protection/>
    </xf>
    <xf numFmtId="173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20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2" fontId="62" fillId="34" borderId="0" xfId="67" applyFont="1" applyFill="1" applyBorder="1" applyAlignment="1" applyProtection="1">
      <alignment/>
      <protection/>
    </xf>
    <xf numFmtId="173" fontId="10" fillId="0" borderId="22" xfId="56" applyNumberFormat="1" applyFont="1" applyFill="1" applyBorder="1" applyAlignment="1" applyProtection="1">
      <alignment horizontal="right"/>
      <protection/>
    </xf>
    <xf numFmtId="0" fontId="10" fillId="0" borderId="22" xfId="56" applyFont="1" applyFill="1" applyBorder="1" applyAlignment="1" applyProtection="1">
      <alignment horizontal="righ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7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173" fontId="10" fillId="0" borderId="18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/>
      <protection/>
    </xf>
    <xf numFmtId="172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3" fontId="10" fillId="0" borderId="19" xfId="56" applyNumberFormat="1" applyFont="1" applyFill="1" applyBorder="1" applyAlignment="1" applyProtection="1">
      <alignment horizontal="righ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0" borderId="23" xfId="56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20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3" fontId="10" fillId="34" borderId="19" xfId="67" applyNumberFormat="1" applyFont="1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3" fontId="13" fillId="34" borderId="19" xfId="53" applyNumberFormat="1" applyFont="1" applyFill="1" applyBorder="1" applyAlignment="1">
      <alignment horizontal="left" vertical="top"/>
      <protection/>
    </xf>
    <xf numFmtId="3" fontId="13" fillId="34" borderId="0" xfId="53" applyNumberFormat="1" applyFont="1" applyFill="1" applyBorder="1" applyAlignment="1">
      <alignment horizontal="left" vertical="top"/>
      <protection/>
    </xf>
    <xf numFmtId="3" fontId="13" fillId="34" borderId="11" xfId="53" applyNumberFormat="1" applyFont="1" applyFill="1" applyBorder="1" applyAlignment="1">
      <alignment horizontal="left" vertical="top"/>
      <protection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7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0" fontId="10" fillId="34" borderId="12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7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5" fontId="10" fillId="34" borderId="12" xfId="0" applyNumberFormat="1" applyFont="1" applyFill="1" applyBorder="1" applyAlignment="1">
      <alignment horizontal="center"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15" fillId="34" borderId="11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25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20" xfId="55" applyFont="1" applyFill="1" applyBorder="1" applyAlignment="1">
      <alignment horizontal="center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0" borderId="18" xfId="56" applyFont="1" applyFill="1" applyBorder="1" applyAlignment="1" applyProtection="1">
      <alignment horizontal="left"/>
      <protection/>
    </xf>
    <xf numFmtId="0" fontId="10" fillId="0" borderId="14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885825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47650"/>
          <a:ext cx="2133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628650</xdr:colOff>
      <xdr:row>105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066800" y="23907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8"/>
  <sheetViews>
    <sheetView showGridLines="0" tabSelected="1" view="pageBreakPreview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6.0039062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9.574218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18" t="s">
        <v>8</v>
      </c>
      <c r="C2" s="318"/>
      <c r="D2" s="318"/>
      <c r="E2" s="318"/>
      <c r="F2" s="318"/>
      <c r="G2" s="318"/>
      <c r="H2" s="318"/>
      <c r="I2" s="318"/>
      <c r="J2" s="318"/>
    </row>
    <row r="3" spans="2:11" s="3" customFormat="1" ht="18" customHeight="1">
      <c r="B3" s="97"/>
      <c r="C3" s="134"/>
      <c r="D3" s="134"/>
      <c r="E3" s="319" t="s">
        <v>73</v>
      </c>
      <c r="F3" s="319"/>
      <c r="G3" s="319"/>
      <c r="H3" s="134"/>
      <c r="I3" s="135"/>
      <c r="J3" s="134"/>
      <c r="K3" s="15"/>
    </row>
    <row r="4" spans="2:11" s="3" customFormat="1" ht="18" customHeight="1">
      <c r="B4" s="97"/>
      <c r="C4" s="134"/>
      <c r="D4" s="319" t="s">
        <v>66</v>
      </c>
      <c r="E4" s="319"/>
      <c r="F4" s="319"/>
      <c r="G4" s="319"/>
      <c r="H4" s="319"/>
      <c r="I4" s="134"/>
      <c r="J4" s="134"/>
      <c r="K4" s="15"/>
    </row>
    <row r="5" spans="2:11" s="3" customFormat="1" ht="18" customHeight="1">
      <c r="B5" s="42"/>
      <c r="C5" s="42"/>
      <c r="D5" s="136"/>
      <c r="E5" s="44"/>
      <c r="F5" s="44"/>
      <c r="G5" s="111"/>
      <c r="H5" s="44"/>
      <c r="I5" s="42"/>
      <c r="J5" s="137"/>
      <c r="K5" s="17"/>
    </row>
    <row r="6" spans="2:11" s="3" customFormat="1" ht="18" customHeight="1">
      <c r="B6" s="42"/>
      <c r="C6" s="42"/>
      <c r="D6" s="327" t="s">
        <v>54</v>
      </c>
      <c r="E6" s="328"/>
      <c r="F6" s="328"/>
      <c r="G6" s="328"/>
      <c r="H6" s="328"/>
      <c r="I6" s="328"/>
      <c r="J6" s="329"/>
      <c r="K6" s="17"/>
    </row>
    <row r="7" spans="2:11" s="3" customFormat="1" ht="18" customHeight="1">
      <c r="B7" s="42"/>
      <c r="C7" s="42"/>
      <c r="D7" s="88" t="s">
        <v>72</v>
      </c>
      <c r="E7" s="89"/>
      <c r="F7" s="89"/>
      <c r="G7" s="90" t="s">
        <v>74</v>
      </c>
      <c r="H7" s="91"/>
      <c r="I7" s="92"/>
      <c r="J7" s="93"/>
      <c r="K7" s="17"/>
    </row>
    <row r="8" spans="2:11" s="3" customFormat="1" ht="18" customHeight="1">
      <c r="B8" s="42"/>
      <c r="C8" s="42"/>
      <c r="D8" s="94" t="s">
        <v>110</v>
      </c>
      <c r="E8" s="95"/>
      <c r="F8" s="95"/>
      <c r="G8" s="96" t="s">
        <v>111</v>
      </c>
      <c r="H8" s="97"/>
      <c r="I8" s="98"/>
      <c r="J8" s="99"/>
      <c r="K8" s="17"/>
    </row>
    <row r="9" spans="2:11" s="3" customFormat="1" ht="18" customHeight="1">
      <c r="B9" s="42"/>
      <c r="C9" s="42"/>
      <c r="D9" s="216" t="s">
        <v>109</v>
      </c>
      <c r="E9" s="95"/>
      <c r="F9" s="95"/>
      <c r="G9" s="96" t="s">
        <v>76</v>
      </c>
      <c r="H9" s="97"/>
      <c r="I9" s="98"/>
      <c r="J9" s="99"/>
      <c r="K9" s="19"/>
    </row>
    <row r="10" spans="2:11" s="3" customFormat="1" ht="18" customHeight="1">
      <c r="B10" s="42"/>
      <c r="C10" s="42"/>
      <c r="D10" s="100" t="s">
        <v>75</v>
      </c>
      <c r="E10" s="101"/>
      <c r="F10" s="101"/>
      <c r="G10" s="217"/>
      <c r="H10" s="102"/>
      <c r="I10" s="103"/>
      <c r="J10" s="104"/>
      <c r="K10" s="19"/>
    </row>
    <row r="11" spans="2:11" s="3" customFormat="1" ht="18" customHeight="1">
      <c r="B11" s="42"/>
      <c r="C11" s="42"/>
      <c r="D11" s="26"/>
      <c r="E11" s="95"/>
      <c r="F11" s="95"/>
      <c r="G11" s="26"/>
      <c r="H11" s="97"/>
      <c r="I11" s="98"/>
      <c r="J11" s="157"/>
      <c r="K11" s="19"/>
    </row>
    <row r="12" spans="2:11" ht="18">
      <c r="B12" s="320" t="s">
        <v>55</v>
      </c>
      <c r="C12" s="321"/>
      <c r="D12" s="321"/>
      <c r="E12" s="322"/>
      <c r="F12" s="41"/>
      <c r="G12" s="320" t="s">
        <v>14</v>
      </c>
      <c r="H12" s="321"/>
      <c r="I12" s="321"/>
      <c r="J12" s="322"/>
      <c r="K12" s="17"/>
    </row>
    <row r="13" spans="2:11" ht="18" customHeight="1">
      <c r="B13" s="114" t="s">
        <v>77</v>
      </c>
      <c r="C13" s="115"/>
      <c r="D13" s="89"/>
      <c r="E13" s="116">
        <v>7200</v>
      </c>
      <c r="F13" s="42"/>
      <c r="G13" s="123" t="s">
        <v>7</v>
      </c>
      <c r="H13" s="89"/>
      <c r="I13" s="89"/>
      <c r="J13" s="124">
        <f>E13*E14</f>
        <v>2880000</v>
      </c>
      <c r="K13" s="17"/>
    </row>
    <row r="14" spans="2:11" ht="18" customHeight="1">
      <c r="B14" s="325" t="s">
        <v>78</v>
      </c>
      <c r="C14" s="326"/>
      <c r="D14" s="326"/>
      <c r="E14" s="117">
        <v>400</v>
      </c>
      <c r="F14" s="42"/>
      <c r="G14" s="125" t="s">
        <v>10</v>
      </c>
      <c r="H14" s="42"/>
      <c r="I14" s="42"/>
      <c r="J14" s="126">
        <f>J28+J37+J63</f>
        <v>1771894</v>
      </c>
      <c r="K14" s="17"/>
    </row>
    <row r="15" spans="2:11" ht="18" customHeight="1">
      <c r="B15" s="118" t="s">
        <v>9</v>
      </c>
      <c r="C15" s="43"/>
      <c r="D15" s="42"/>
      <c r="E15" s="117">
        <v>12000</v>
      </c>
      <c r="F15" s="42"/>
      <c r="G15" s="125" t="s">
        <v>11</v>
      </c>
      <c r="H15" s="44"/>
      <c r="I15" s="42"/>
      <c r="J15" s="126">
        <f>J28+J37+J63+J75</f>
        <v>1838340.025</v>
      </c>
      <c r="K15" s="17"/>
    </row>
    <row r="16" spans="2:11" ht="18" customHeight="1">
      <c r="B16" s="118" t="s">
        <v>4</v>
      </c>
      <c r="C16" s="45"/>
      <c r="D16" s="42"/>
      <c r="E16" s="119">
        <v>0.015</v>
      </c>
      <c r="F16" s="42"/>
      <c r="G16" s="125" t="s">
        <v>12</v>
      </c>
      <c r="H16" s="42"/>
      <c r="I16" s="42"/>
      <c r="J16" s="126">
        <f>J13-J14</f>
        <v>1108106</v>
      </c>
      <c r="K16" s="17"/>
    </row>
    <row r="17" spans="2:11" ht="18" customHeight="1">
      <c r="B17" s="120" t="s">
        <v>5</v>
      </c>
      <c r="C17" s="121"/>
      <c r="D17" s="105"/>
      <c r="E17" s="122">
        <v>5</v>
      </c>
      <c r="F17" s="42"/>
      <c r="G17" s="125" t="s">
        <v>13</v>
      </c>
      <c r="H17" s="42"/>
      <c r="I17" s="42"/>
      <c r="J17" s="126">
        <f>J13-J15</f>
        <v>1041659.9750000001</v>
      </c>
      <c r="K17" s="17"/>
    </row>
    <row r="18" spans="6:11" ht="18" customHeight="1">
      <c r="F18" s="42"/>
      <c r="G18" s="127" t="s">
        <v>51</v>
      </c>
      <c r="H18" s="105"/>
      <c r="I18" s="128"/>
      <c r="J18" s="129">
        <f>G93</f>
        <v>267.6298229166666</v>
      </c>
      <c r="K18" s="17"/>
    </row>
    <row r="19" spans="2:11" s="3" customFormat="1" ht="18" customHeight="1">
      <c r="B19" s="42"/>
      <c r="C19" s="42"/>
      <c r="D19" s="42"/>
      <c r="E19" s="20"/>
      <c r="F19" s="20"/>
      <c r="G19" s="21"/>
      <c r="H19" s="22"/>
      <c r="I19" s="23"/>
      <c r="J19" s="23"/>
      <c r="K19" s="17"/>
    </row>
    <row r="20" spans="2:11" s="3" customFormat="1" ht="18" customHeight="1">
      <c r="B20" s="139" t="s">
        <v>52</v>
      </c>
      <c r="C20" s="138"/>
      <c r="D20" s="138"/>
      <c r="E20" s="330" t="s">
        <v>15</v>
      </c>
      <c r="F20" s="330"/>
      <c r="G20" s="140" t="s">
        <v>16</v>
      </c>
      <c r="H20" s="141" t="s">
        <v>17</v>
      </c>
      <c r="I20" s="175" t="s">
        <v>64</v>
      </c>
      <c r="J20" s="142" t="s">
        <v>3</v>
      </c>
      <c r="K20" s="17"/>
    </row>
    <row r="21" spans="2:11" s="3" customFormat="1" ht="18" customHeight="1">
      <c r="B21" s="274" t="s">
        <v>19</v>
      </c>
      <c r="C21" s="275"/>
      <c r="D21" s="275"/>
      <c r="E21" s="255"/>
      <c r="F21" s="255"/>
      <c r="G21" s="130"/>
      <c r="H21" s="131"/>
      <c r="I21" s="132"/>
      <c r="J21" s="133"/>
      <c r="K21" s="17"/>
    </row>
    <row r="22" spans="2:11" s="3" customFormat="1" ht="18" customHeight="1">
      <c r="B22" s="331" t="s">
        <v>80</v>
      </c>
      <c r="C22" s="332"/>
      <c r="D22" s="333"/>
      <c r="E22" s="323" t="s">
        <v>81</v>
      </c>
      <c r="F22" s="324"/>
      <c r="G22" s="158">
        <v>4</v>
      </c>
      <c r="H22" s="159" t="s">
        <v>6</v>
      </c>
      <c r="I22" s="174">
        <v>12000</v>
      </c>
      <c r="J22" s="11">
        <f aca="true" t="shared" si="0" ref="J22:J27">G22*I22</f>
        <v>48000</v>
      </c>
      <c r="K22" s="17"/>
    </row>
    <row r="23" spans="2:11" s="3" customFormat="1" ht="18" customHeight="1">
      <c r="B23" s="179" t="s">
        <v>82</v>
      </c>
      <c r="C23" s="180"/>
      <c r="D23" s="185"/>
      <c r="E23" s="276" t="s">
        <v>83</v>
      </c>
      <c r="F23" s="277"/>
      <c r="G23" s="165">
        <v>4</v>
      </c>
      <c r="H23" s="186" t="s">
        <v>6</v>
      </c>
      <c r="I23" s="166">
        <v>12000</v>
      </c>
      <c r="J23" s="11">
        <f t="shared" si="0"/>
        <v>48000</v>
      </c>
      <c r="K23" s="17"/>
    </row>
    <row r="24" spans="2:11" s="3" customFormat="1" ht="18" customHeight="1">
      <c r="B24" s="279" t="s">
        <v>65</v>
      </c>
      <c r="C24" s="280"/>
      <c r="D24" s="281"/>
      <c r="E24" s="225" t="s">
        <v>84</v>
      </c>
      <c r="F24" s="226"/>
      <c r="G24" s="160">
        <v>10</v>
      </c>
      <c r="H24" s="161" t="s">
        <v>6</v>
      </c>
      <c r="I24" s="166">
        <v>12000</v>
      </c>
      <c r="J24" s="11">
        <f t="shared" si="0"/>
        <v>120000</v>
      </c>
      <c r="K24" s="17"/>
    </row>
    <row r="25" spans="2:11" s="3" customFormat="1" ht="18" customHeight="1">
      <c r="B25" s="279" t="s">
        <v>120</v>
      </c>
      <c r="C25" s="280"/>
      <c r="D25" s="281"/>
      <c r="E25" s="225" t="s">
        <v>85</v>
      </c>
      <c r="F25" s="226"/>
      <c r="G25" s="160">
        <v>2</v>
      </c>
      <c r="H25" s="161" t="s">
        <v>6</v>
      </c>
      <c r="I25" s="166">
        <v>12000</v>
      </c>
      <c r="J25" s="11">
        <f t="shared" si="0"/>
        <v>24000</v>
      </c>
      <c r="K25" s="17"/>
    </row>
    <row r="26" spans="2:11" s="3" customFormat="1" ht="18" customHeight="1">
      <c r="B26" s="279" t="s">
        <v>31</v>
      </c>
      <c r="C26" s="280"/>
      <c r="D26" s="281"/>
      <c r="E26" s="225" t="s">
        <v>83</v>
      </c>
      <c r="F26" s="226"/>
      <c r="G26" s="160">
        <v>3</v>
      </c>
      <c r="H26" s="161" t="s">
        <v>6</v>
      </c>
      <c r="I26" s="166">
        <v>12000</v>
      </c>
      <c r="J26" s="11">
        <f t="shared" si="0"/>
        <v>36000</v>
      </c>
      <c r="K26" s="17"/>
    </row>
    <row r="27" spans="2:11" s="3" customFormat="1" ht="18" customHeight="1">
      <c r="B27" s="232" t="s">
        <v>119</v>
      </c>
      <c r="C27" s="233"/>
      <c r="D27" s="234"/>
      <c r="E27" s="316" t="s">
        <v>67</v>
      </c>
      <c r="F27" s="317"/>
      <c r="G27" s="162">
        <f>Hoja1!E5*Hoja1!C2</f>
        <v>7200</v>
      </c>
      <c r="H27" s="163" t="s">
        <v>47</v>
      </c>
      <c r="I27" s="167">
        <v>80</v>
      </c>
      <c r="J27" s="11">
        <f t="shared" si="0"/>
        <v>576000</v>
      </c>
      <c r="K27" s="17"/>
    </row>
    <row r="28" spans="2:11" ht="18" customHeight="1">
      <c r="B28" s="272" t="s">
        <v>20</v>
      </c>
      <c r="C28" s="273"/>
      <c r="D28" s="273"/>
      <c r="E28" s="273"/>
      <c r="F28" s="273"/>
      <c r="G28" s="273"/>
      <c r="H28" s="273"/>
      <c r="I28" s="273"/>
      <c r="J28" s="106">
        <f>SUM(J22:J27)</f>
        <v>852000</v>
      </c>
      <c r="K28" s="17" t="s">
        <v>79</v>
      </c>
    </row>
    <row r="29" spans="2:11" s="3" customFormat="1" ht="18" customHeight="1">
      <c r="B29" s="86"/>
      <c r="C29" s="86"/>
      <c r="D29" s="86"/>
      <c r="E29" s="86"/>
      <c r="F29" s="86"/>
      <c r="G29" s="25"/>
      <c r="H29" s="86"/>
      <c r="I29" s="86"/>
      <c r="J29" s="27"/>
      <c r="K29" s="17"/>
    </row>
    <row r="30" spans="2:12" s="28" customFormat="1" ht="18" customHeight="1">
      <c r="B30" s="274" t="s">
        <v>21</v>
      </c>
      <c r="C30" s="275"/>
      <c r="D30" s="275"/>
      <c r="E30" s="255"/>
      <c r="F30" s="255"/>
      <c r="G30" s="130"/>
      <c r="H30" s="131"/>
      <c r="I30" s="132"/>
      <c r="J30" s="194"/>
      <c r="K30" s="17"/>
      <c r="L30" s="3"/>
    </row>
    <row r="31" spans="2:11" s="3" customFormat="1" ht="18" customHeight="1">
      <c r="B31" s="331" t="s">
        <v>32</v>
      </c>
      <c r="C31" s="332"/>
      <c r="D31" s="332"/>
      <c r="E31" s="323" t="s">
        <v>86</v>
      </c>
      <c r="F31" s="324"/>
      <c r="G31" s="164">
        <v>1</v>
      </c>
      <c r="H31" s="158" t="s">
        <v>48</v>
      </c>
      <c r="I31" s="191">
        <v>48000</v>
      </c>
      <c r="J31" s="171">
        <f>I31*G31</f>
        <v>48000</v>
      </c>
      <c r="K31" s="17"/>
    </row>
    <row r="32" spans="2:11" s="3" customFormat="1" ht="18" customHeight="1">
      <c r="B32" s="179" t="s">
        <v>50</v>
      </c>
      <c r="C32" s="180"/>
      <c r="D32" s="180"/>
      <c r="E32" s="276" t="s">
        <v>87</v>
      </c>
      <c r="F32" s="277"/>
      <c r="G32" s="184">
        <v>3</v>
      </c>
      <c r="H32" s="165" t="s">
        <v>48</v>
      </c>
      <c r="I32" s="192">
        <v>24000</v>
      </c>
      <c r="J32" s="172">
        <v>72000</v>
      </c>
      <c r="K32" s="17"/>
    </row>
    <row r="33" spans="2:11" s="3" customFormat="1" ht="18" customHeight="1">
      <c r="B33" s="279" t="s">
        <v>68</v>
      </c>
      <c r="C33" s="280"/>
      <c r="D33" s="281"/>
      <c r="E33" s="225" t="s">
        <v>81</v>
      </c>
      <c r="F33" s="226"/>
      <c r="G33" s="160">
        <v>1</v>
      </c>
      <c r="H33" s="160" t="s">
        <v>48</v>
      </c>
      <c r="I33" s="193">
        <v>24000</v>
      </c>
      <c r="J33" s="172">
        <f>I33*G33</f>
        <v>24000</v>
      </c>
      <c r="K33" s="17"/>
    </row>
    <row r="34" spans="2:11" s="3" customFormat="1" ht="18" customHeight="1">
      <c r="B34" s="210" t="s">
        <v>44</v>
      </c>
      <c r="C34" s="211"/>
      <c r="D34" s="212"/>
      <c r="E34" s="225" t="s">
        <v>85</v>
      </c>
      <c r="F34" s="226"/>
      <c r="G34" s="160">
        <v>2</v>
      </c>
      <c r="H34" s="160" t="s">
        <v>48</v>
      </c>
      <c r="I34" s="193">
        <v>6000</v>
      </c>
      <c r="J34" s="172">
        <f>I34*G34</f>
        <v>12000</v>
      </c>
      <c r="K34" s="17"/>
    </row>
    <row r="35" spans="2:11" s="3" customFormat="1" ht="18" customHeight="1">
      <c r="B35" s="279" t="s">
        <v>100</v>
      </c>
      <c r="C35" s="280"/>
      <c r="D35" s="281"/>
      <c r="E35" s="225" t="s">
        <v>85</v>
      </c>
      <c r="F35" s="226"/>
      <c r="G35" s="160">
        <v>1</v>
      </c>
      <c r="H35" s="160" t="s">
        <v>48</v>
      </c>
      <c r="I35" s="193">
        <v>24000</v>
      </c>
      <c r="J35" s="172">
        <f>I35*G35</f>
        <v>24000</v>
      </c>
      <c r="K35" s="17"/>
    </row>
    <row r="36" spans="2:11" s="3" customFormat="1" ht="18" customHeight="1">
      <c r="B36" s="263" t="s">
        <v>61</v>
      </c>
      <c r="C36" s="264"/>
      <c r="D36" s="264"/>
      <c r="E36" s="276" t="s">
        <v>85</v>
      </c>
      <c r="F36" s="277"/>
      <c r="G36" s="165">
        <v>1</v>
      </c>
      <c r="H36" s="165" t="s">
        <v>48</v>
      </c>
      <c r="I36" s="192">
        <v>40000</v>
      </c>
      <c r="J36" s="195">
        <f>I36*G36</f>
        <v>40000</v>
      </c>
      <c r="K36" s="17"/>
    </row>
    <row r="37" spans="2:11" ht="18" customHeight="1">
      <c r="B37" s="272" t="s">
        <v>22</v>
      </c>
      <c r="C37" s="273"/>
      <c r="D37" s="273"/>
      <c r="E37" s="273"/>
      <c r="F37" s="273"/>
      <c r="G37" s="273"/>
      <c r="H37" s="273"/>
      <c r="I37" s="273"/>
      <c r="J37" s="143">
        <f>SUM(J31:J36)</f>
        <v>220000</v>
      </c>
      <c r="K37" s="17"/>
    </row>
    <row r="38" spans="2:11" s="3" customFormat="1" ht="18" customHeight="1">
      <c r="B38" s="86"/>
      <c r="C38" s="86"/>
      <c r="D38" s="86"/>
      <c r="E38" s="86"/>
      <c r="F38" s="86"/>
      <c r="G38" s="25"/>
      <c r="H38" s="86"/>
      <c r="I38" s="86"/>
      <c r="J38" s="27"/>
      <c r="K38" s="17"/>
    </row>
    <row r="39" spans="2:11" s="3" customFormat="1" ht="18" customHeight="1">
      <c r="B39" s="274" t="s">
        <v>89</v>
      </c>
      <c r="C39" s="275"/>
      <c r="D39" s="275"/>
      <c r="E39" s="255"/>
      <c r="F39" s="255"/>
      <c r="G39" s="130"/>
      <c r="H39" s="131"/>
      <c r="I39" s="132"/>
      <c r="J39" s="133"/>
      <c r="K39" s="17"/>
    </row>
    <row r="40" spans="2:11" s="3" customFormat="1" ht="18" customHeight="1">
      <c r="B40" s="309" t="s">
        <v>112</v>
      </c>
      <c r="C40" s="310"/>
      <c r="D40" s="311"/>
      <c r="E40" s="307" t="s">
        <v>101</v>
      </c>
      <c r="F40" s="308"/>
      <c r="G40" s="80">
        <v>150</v>
      </c>
      <c r="H40" s="168" t="s">
        <v>47</v>
      </c>
      <c r="I40" s="171">
        <v>2500</v>
      </c>
      <c r="J40" s="12">
        <f>G40*I40</f>
        <v>375000</v>
      </c>
      <c r="K40" s="17"/>
    </row>
    <row r="41" spans="2:11" s="3" customFormat="1" ht="18" customHeight="1">
      <c r="B41" s="154"/>
      <c r="C41" s="155"/>
      <c r="D41" s="156"/>
      <c r="E41" s="152"/>
      <c r="F41" s="148"/>
      <c r="G41" s="81"/>
      <c r="H41" s="161"/>
      <c r="I41" s="172"/>
      <c r="J41" s="12"/>
      <c r="K41" s="17"/>
    </row>
    <row r="42" spans="2:11" s="3" customFormat="1" ht="18" customHeight="1">
      <c r="B42" s="268" t="s">
        <v>43</v>
      </c>
      <c r="C42" s="269" t="s">
        <v>62</v>
      </c>
      <c r="D42" s="270" t="s">
        <v>62</v>
      </c>
      <c r="E42" s="271"/>
      <c r="F42" s="226"/>
      <c r="G42" s="169"/>
      <c r="H42" s="170"/>
      <c r="I42" s="172"/>
      <c r="J42" s="12"/>
      <c r="K42" s="17"/>
    </row>
    <row r="43" spans="2:11" s="3" customFormat="1" ht="18" customHeight="1">
      <c r="B43" s="312" t="s">
        <v>113</v>
      </c>
      <c r="C43" s="313"/>
      <c r="D43" s="314"/>
      <c r="E43" s="271" t="s">
        <v>102</v>
      </c>
      <c r="F43" s="306"/>
      <c r="G43" s="81">
        <v>200</v>
      </c>
      <c r="H43" s="161" t="s">
        <v>47</v>
      </c>
      <c r="I43" s="172">
        <v>380</v>
      </c>
      <c r="J43" s="12">
        <f aca="true" t="shared" si="1" ref="J43:J62">G43*I43</f>
        <v>76000</v>
      </c>
      <c r="K43" s="17"/>
    </row>
    <row r="44" spans="2:11" s="3" customFormat="1" ht="18" customHeight="1">
      <c r="B44" s="312" t="s">
        <v>114</v>
      </c>
      <c r="C44" s="313"/>
      <c r="D44" s="314"/>
      <c r="E44" s="271" t="s">
        <v>86</v>
      </c>
      <c r="F44" s="226"/>
      <c r="G44" s="81">
        <v>100</v>
      </c>
      <c r="H44" s="161" t="s">
        <v>47</v>
      </c>
      <c r="I44" s="172">
        <v>370</v>
      </c>
      <c r="J44" s="12">
        <f t="shared" si="1"/>
        <v>37000</v>
      </c>
      <c r="K44" s="17"/>
    </row>
    <row r="45" spans="2:11" s="3" customFormat="1" ht="18" customHeight="1">
      <c r="B45" s="149"/>
      <c r="C45" s="150"/>
      <c r="D45" s="151"/>
      <c r="E45" s="152"/>
      <c r="F45" s="148"/>
      <c r="G45" s="81"/>
      <c r="H45" s="161"/>
      <c r="I45" s="172"/>
      <c r="J45" s="12"/>
      <c r="K45" s="17"/>
    </row>
    <row r="46" spans="2:11" s="3" customFormat="1" ht="18" customHeight="1">
      <c r="B46" s="265" t="s">
        <v>45</v>
      </c>
      <c r="C46" s="266"/>
      <c r="D46" s="267"/>
      <c r="E46" s="225"/>
      <c r="F46" s="226"/>
      <c r="G46" s="81"/>
      <c r="H46" s="161"/>
      <c r="I46" s="172"/>
      <c r="J46" s="12"/>
      <c r="K46" s="17"/>
    </row>
    <row r="47" spans="2:11" s="3" customFormat="1" ht="18" customHeight="1">
      <c r="B47" s="279" t="s">
        <v>70</v>
      </c>
      <c r="C47" s="280"/>
      <c r="D47" s="281"/>
      <c r="E47" s="225" t="s">
        <v>103</v>
      </c>
      <c r="F47" s="226"/>
      <c r="G47" s="81">
        <v>2</v>
      </c>
      <c r="H47" s="161" t="s">
        <v>47</v>
      </c>
      <c r="I47" s="172">
        <v>16447</v>
      </c>
      <c r="J47" s="12">
        <f t="shared" si="1"/>
        <v>32894</v>
      </c>
      <c r="K47" s="17"/>
    </row>
    <row r="48" spans="2:11" s="3" customFormat="1" ht="18" customHeight="1">
      <c r="B48" s="149"/>
      <c r="C48" s="150"/>
      <c r="D48" s="151"/>
      <c r="E48" s="147"/>
      <c r="F48" s="148"/>
      <c r="G48" s="81"/>
      <c r="H48" s="161"/>
      <c r="I48" s="172"/>
      <c r="J48" s="12"/>
      <c r="K48" s="17"/>
    </row>
    <row r="49" spans="2:11" s="3" customFormat="1" ht="18" customHeight="1">
      <c r="B49" s="265" t="s">
        <v>46</v>
      </c>
      <c r="C49" s="266"/>
      <c r="D49" s="267"/>
      <c r="E49" s="225"/>
      <c r="F49" s="226"/>
      <c r="G49" s="81"/>
      <c r="H49" s="161"/>
      <c r="I49" s="172"/>
      <c r="J49" s="12"/>
      <c r="K49" s="17"/>
    </row>
    <row r="50" spans="2:11" s="3" customFormat="1" ht="18" customHeight="1">
      <c r="B50" s="187" t="s">
        <v>71</v>
      </c>
      <c r="C50" s="188"/>
      <c r="D50" s="189"/>
      <c r="E50" s="225" t="s">
        <v>83</v>
      </c>
      <c r="F50" s="226"/>
      <c r="G50" s="169">
        <v>1</v>
      </c>
      <c r="H50" s="170" t="s">
        <v>42</v>
      </c>
      <c r="I50" s="172">
        <v>35500</v>
      </c>
      <c r="J50" s="12">
        <f t="shared" si="1"/>
        <v>35500</v>
      </c>
      <c r="K50" s="17"/>
    </row>
    <row r="51" spans="2:11" s="3" customFormat="1" ht="18" customHeight="1">
      <c r="B51" s="210"/>
      <c r="C51" s="211"/>
      <c r="D51" s="212"/>
      <c r="E51" s="208"/>
      <c r="F51" s="209"/>
      <c r="G51" s="169"/>
      <c r="H51" s="170"/>
      <c r="I51" s="172"/>
      <c r="J51" s="12"/>
      <c r="K51" s="17"/>
    </row>
    <row r="52" spans="2:11" s="3" customFormat="1" ht="18" customHeight="1">
      <c r="B52" s="210" t="s">
        <v>115</v>
      </c>
      <c r="C52" s="211"/>
      <c r="D52" s="212"/>
      <c r="E52" s="208"/>
      <c r="F52" s="209"/>
      <c r="G52" s="169"/>
      <c r="H52" s="170"/>
      <c r="I52" s="172"/>
      <c r="J52" s="12"/>
      <c r="K52" s="17"/>
    </row>
    <row r="53" spans="2:11" s="3" customFormat="1" ht="18" customHeight="1">
      <c r="B53" s="210" t="s">
        <v>116</v>
      </c>
      <c r="C53" s="211"/>
      <c r="D53" s="212"/>
      <c r="E53" s="225" t="s">
        <v>85</v>
      </c>
      <c r="F53" s="226"/>
      <c r="G53" s="169">
        <v>2</v>
      </c>
      <c r="H53" s="170" t="s">
        <v>42</v>
      </c>
      <c r="I53" s="172">
        <v>15500</v>
      </c>
      <c r="J53" s="12">
        <f t="shared" si="1"/>
        <v>31000</v>
      </c>
      <c r="K53" s="17"/>
    </row>
    <row r="54" spans="2:11" s="3" customFormat="1" ht="18" customHeight="1">
      <c r="B54" s="204"/>
      <c r="C54" s="205"/>
      <c r="D54" s="206"/>
      <c r="E54" s="202"/>
      <c r="F54" s="203"/>
      <c r="G54" s="169"/>
      <c r="H54" s="170"/>
      <c r="I54" s="172"/>
      <c r="J54" s="12"/>
      <c r="K54" s="17"/>
    </row>
    <row r="55" spans="2:11" s="3" customFormat="1" ht="18" customHeight="1">
      <c r="B55" s="207" t="s">
        <v>88</v>
      </c>
      <c r="C55" s="205"/>
      <c r="D55" s="206"/>
      <c r="E55" s="202"/>
      <c r="F55" s="203"/>
      <c r="G55" s="169"/>
      <c r="H55" s="170"/>
      <c r="I55" s="172"/>
      <c r="J55" s="12"/>
      <c r="K55" s="17"/>
    </row>
    <row r="56" spans="2:11" s="3" customFormat="1" ht="18" customHeight="1">
      <c r="B56" s="204" t="s">
        <v>117</v>
      </c>
      <c r="C56" s="205"/>
      <c r="D56" s="206"/>
      <c r="E56" s="225" t="s">
        <v>103</v>
      </c>
      <c r="F56" s="226"/>
      <c r="G56" s="169">
        <v>1</v>
      </c>
      <c r="H56" s="170" t="s">
        <v>42</v>
      </c>
      <c r="I56" s="172">
        <v>18500</v>
      </c>
      <c r="J56" s="12">
        <f t="shared" si="1"/>
        <v>18500</v>
      </c>
      <c r="K56" s="17"/>
    </row>
    <row r="57" spans="2:11" s="3" customFormat="1" ht="18">
      <c r="B57" s="154"/>
      <c r="C57" s="155"/>
      <c r="D57" s="156"/>
      <c r="E57" s="152"/>
      <c r="F57" s="148"/>
      <c r="G57" s="169"/>
      <c r="H57" s="170"/>
      <c r="I57" s="172"/>
      <c r="J57" s="12"/>
      <c r="K57" s="17"/>
    </row>
    <row r="58" spans="2:11" s="3" customFormat="1" ht="18">
      <c r="B58" s="153" t="s">
        <v>63</v>
      </c>
      <c r="C58" s="155"/>
      <c r="D58" s="156"/>
      <c r="E58" s="152"/>
      <c r="F58" s="148"/>
      <c r="G58" s="169"/>
      <c r="H58" s="170"/>
      <c r="I58" s="172"/>
      <c r="J58" s="12"/>
      <c r="K58" s="17"/>
    </row>
    <row r="59" spans="2:11" s="3" customFormat="1" ht="18">
      <c r="B59" s="181" t="s">
        <v>118</v>
      </c>
      <c r="C59" s="182"/>
      <c r="D59" s="183"/>
      <c r="E59" s="225" t="s">
        <v>83</v>
      </c>
      <c r="F59" s="226"/>
      <c r="G59" s="169">
        <v>2</v>
      </c>
      <c r="H59" s="170" t="s">
        <v>42</v>
      </c>
      <c r="I59" s="172">
        <v>7500</v>
      </c>
      <c r="J59" s="12">
        <f t="shared" si="1"/>
        <v>15000</v>
      </c>
      <c r="K59" s="17"/>
    </row>
    <row r="60" spans="2:11" s="3" customFormat="1" ht="18">
      <c r="B60" s="213" t="s">
        <v>108</v>
      </c>
      <c r="C60" s="214"/>
      <c r="D60" s="215"/>
      <c r="E60" s="225" t="s">
        <v>67</v>
      </c>
      <c r="F60" s="226"/>
      <c r="G60" s="169">
        <v>240</v>
      </c>
      <c r="H60" s="170" t="s">
        <v>60</v>
      </c>
      <c r="I60" s="172">
        <v>100</v>
      </c>
      <c r="J60" s="12">
        <f t="shared" si="1"/>
        <v>24000</v>
      </c>
      <c r="K60" s="17"/>
    </row>
    <row r="61" spans="2:11" s="3" customFormat="1" ht="18">
      <c r="B61" s="176" t="s">
        <v>69</v>
      </c>
      <c r="C61" s="177"/>
      <c r="D61" s="178"/>
      <c r="E61" s="225" t="s">
        <v>83</v>
      </c>
      <c r="F61" s="226"/>
      <c r="G61" s="169">
        <v>3</v>
      </c>
      <c r="H61" s="170" t="s">
        <v>60</v>
      </c>
      <c r="I61" s="172">
        <v>10000</v>
      </c>
      <c r="J61" s="12">
        <f t="shared" si="1"/>
        <v>30000</v>
      </c>
      <c r="K61" s="17"/>
    </row>
    <row r="62" spans="2:11" s="3" customFormat="1" ht="18">
      <c r="B62" s="154" t="s">
        <v>91</v>
      </c>
      <c r="C62" s="155"/>
      <c r="D62" s="156"/>
      <c r="E62" s="225" t="s">
        <v>104</v>
      </c>
      <c r="F62" s="226"/>
      <c r="G62" s="169">
        <v>1</v>
      </c>
      <c r="H62" s="170" t="s">
        <v>49</v>
      </c>
      <c r="I62" s="172">
        <v>25000</v>
      </c>
      <c r="J62" s="12">
        <f t="shared" si="1"/>
        <v>25000</v>
      </c>
      <c r="K62" s="17"/>
    </row>
    <row r="63" spans="2:14" ht="18" customHeight="1">
      <c r="B63" s="245" t="s">
        <v>23</v>
      </c>
      <c r="C63" s="246"/>
      <c r="D63" s="246"/>
      <c r="E63" s="246"/>
      <c r="F63" s="246"/>
      <c r="G63" s="246"/>
      <c r="H63" s="246"/>
      <c r="I63" s="246"/>
      <c r="J63" s="146">
        <f>SUM(J40:J62)</f>
        <v>699894</v>
      </c>
      <c r="M63" s="17"/>
      <c r="N63" s="17"/>
    </row>
    <row r="64" spans="2:14" s="3" customFormat="1" ht="18" customHeight="1">
      <c r="B64" s="29"/>
      <c r="C64" s="29"/>
      <c r="D64" s="29"/>
      <c r="E64" s="29"/>
      <c r="F64" s="29"/>
      <c r="G64" s="30"/>
      <c r="H64" s="29"/>
      <c r="I64" s="29"/>
      <c r="J64" s="31"/>
      <c r="M64" s="17"/>
      <c r="N64" s="17"/>
    </row>
    <row r="65" spans="2:16" ht="18" customHeight="1">
      <c r="B65" s="247" t="s">
        <v>24</v>
      </c>
      <c r="C65" s="248"/>
      <c r="D65" s="248"/>
      <c r="E65" s="248"/>
      <c r="F65" s="248"/>
      <c r="G65" s="248"/>
      <c r="H65" s="248"/>
      <c r="I65" s="248"/>
      <c r="J65" s="106">
        <f>J28+J37+J63</f>
        <v>1771894</v>
      </c>
      <c r="M65" s="17"/>
      <c r="N65" s="17"/>
      <c r="O65" s="10"/>
      <c r="P65" s="10"/>
    </row>
    <row r="66" spans="2:14" s="3" customFormat="1" ht="18" customHeight="1">
      <c r="B66" s="87"/>
      <c r="C66" s="87"/>
      <c r="D66" s="87"/>
      <c r="E66" s="87"/>
      <c r="F66" s="87"/>
      <c r="G66" s="32"/>
      <c r="H66" s="87"/>
      <c r="I66" s="87"/>
      <c r="J66" s="27"/>
      <c r="M66" s="17"/>
      <c r="N66" s="17"/>
    </row>
    <row r="67" spans="2:14" s="3" customFormat="1" ht="18" customHeight="1">
      <c r="B67" s="196" t="s">
        <v>58</v>
      </c>
      <c r="C67" s="197"/>
      <c r="D67" s="198"/>
      <c r="E67" s="244"/>
      <c r="F67" s="244"/>
      <c r="G67" s="199">
        <v>0.05</v>
      </c>
      <c r="H67" s="200" t="s">
        <v>1</v>
      </c>
      <c r="I67" s="201"/>
      <c r="J67" s="201">
        <f>J65*G67</f>
        <v>88594.70000000001</v>
      </c>
      <c r="M67" s="17"/>
      <c r="N67" s="17"/>
    </row>
    <row r="68" spans="2:14" s="3" customFormat="1" ht="18" customHeight="1">
      <c r="B68" s="190"/>
      <c r="C68" s="190"/>
      <c r="D68" s="190"/>
      <c r="E68" s="190"/>
      <c r="F68" s="190"/>
      <c r="G68" s="32"/>
      <c r="H68" s="190"/>
      <c r="I68" s="190"/>
      <c r="J68" s="27"/>
      <c r="M68" s="17"/>
      <c r="N68" s="17"/>
    </row>
    <row r="69" spans="2:14" s="3" customFormat="1" ht="18" customHeight="1">
      <c r="B69" s="139" t="s">
        <v>57</v>
      </c>
      <c r="C69" s="138"/>
      <c r="D69" s="138"/>
      <c r="E69" s="20"/>
      <c r="F69" s="20"/>
      <c r="G69" s="21"/>
      <c r="H69" s="22"/>
      <c r="I69" s="23"/>
      <c r="J69" s="23"/>
      <c r="K69" s="10"/>
      <c r="M69" s="17"/>
      <c r="N69" s="17"/>
    </row>
    <row r="70" spans="2:14" s="3" customFormat="1" ht="18" customHeight="1">
      <c r="B70" s="315" t="s">
        <v>56</v>
      </c>
      <c r="C70" s="255"/>
      <c r="D70" s="255"/>
      <c r="E70" s="255" t="s">
        <v>15</v>
      </c>
      <c r="F70" s="255"/>
      <c r="G70" s="130" t="s">
        <v>16</v>
      </c>
      <c r="H70" s="131" t="s">
        <v>17</v>
      </c>
      <c r="I70" s="132" t="s">
        <v>18</v>
      </c>
      <c r="J70" s="133" t="s">
        <v>3</v>
      </c>
      <c r="K70" s="10"/>
      <c r="M70" s="17"/>
      <c r="N70" s="17"/>
    </row>
    <row r="71" spans="2:15" s="3" customFormat="1" ht="18" customHeight="1">
      <c r="B71" s="279" t="s">
        <v>94</v>
      </c>
      <c r="C71" s="280"/>
      <c r="D71" s="281"/>
      <c r="E71" s="225" t="s">
        <v>105</v>
      </c>
      <c r="F71" s="226"/>
      <c r="G71" s="144">
        <f>E16</f>
        <v>0.015</v>
      </c>
      <c r="H71" s="9" t="s">
        <v>1</v>
      </c>
      <c r="I71" s="145"/>
      <c r="J71" s="12">
        <f>E16*0.5*E17*J65</f>
        <v>66446.025</v>
      </c>
      <c r="K71" s="10"/>
      <c r="L71" s="280"/>
      <c r="M71" s="280"/>
      <c r="N71" s="280"/>
      <c r="O71" s="280"/>
    </row>
    <row r="72" spans="2:14" s="3" customFormat="1" ht="18" customHeight="1">
      <c r="B72" s="279" t="s">
        <v>26</v>
      </c>
      <c r="C72" s="280"/>
      <c r="D72" s="281"/>
      <c r="E72" s="227"/>
      <c r="F72" s="228"/>
      <c r="G72" s="107"/>
      <c r="H72" s="107"/>
      <c r="I72" s="107"/>
      <c r="J72" s="109"/>
      <c r="K72" s="10"/>
      <c r="M72" s="17"/>
      <c r="N72" s="17"/>
    </row>
    <row r="73" spans="2:14" s="3" customFormat="1" ht="18" customHeight="1">
      <c r="B73" s="279" t="s">
        <v>2</v>
      </c>
      <c r="C73" s="280"/>
      <c r="D73" s="281"/>
      <c r="E73" s="227"/>
      <c r="F73" s="228"/>
      <c r="G73" s="107"/>
      <c r="H73" s="107"/>
      <c r="I73" s="107"/>
      <c r="J73" s="109"/>
      <c r="K73" s="10"/>
      <c r="M73" s="17"/>
      <c r="N73" s="17"/>
    </row>
    <row r="74" spans="2:14" s="3" customFormat="1" ht="18" customHeight="1">
      <c r="B74" s="232" t="s">
        <v>27</v>
      </c>
      <c r="C74" s="233"/>
      <c r="D74" s="234"/>
      <c r="E74" s="296"/>
      <c r="F74" s="297"/>
      <c r="G74" s="108"/>
      <c r="H74" s="108"/>
      <c r="I74" s="108"/>
      <c r="J74" s="110"/>
      <c r="K74" s="10"/>
      <c r="M74" s="17"/>
      <c r="N74" s="17"/>
    </row>
    <row r="75" spans="2:14" ht="18" customHeight="1">
      <c r="B75" s="294" t="s">
        <v>53</v>
      </c>
      <c r="C75" s="295"/>
      <c r="D75" s="295"/>
      <c r="E75" s="295"/>
      <c r="F75" s="295"/>
      <c r="G75" s="295"/>
      <c r="H75" s="295"/>
      <c r="I75" s="295"/>
      <c r="J75" s="143">
        <f>SUM(J71:J74)</f>
        <v>66446.025</v>
      </c>
      <c r="M75" s="17"/>
      <c r="N75" s="17"/>
    </row>
    <row r="76" spans="2:12" s="3" customFormat="1" ht="18" customHeight="1">
      <c r="B76" s="86"/>
      <c r="C76" s="86"/>
      <c r="D76" s="86"/>
      <c r="E76" s="86"/>
      <c r="F76" s="86"/>
      <c r="G76" s="25"/>
      <c r="H76" s="86"/>
      <c r="I76" s="86"/>
      <c r="J76" s="27"/>
      <c r="K76" s="17"/>
      <c r="L76" s="17"/>
    </row>
    <row r="77" spans="2:12" ht="18" customHeight="1">
      <c r="B77" s="298" t="s">
        <v>28</v>
      </c>
      <c r="C77" s="299"/>
      <c r="D77" s="299"/>
      <c r="E77" s="299"/>
      <c r="F77" s="299"/>
      <c r="G77" s="299"/>
      <c r="H77" s="299"/>
      <c r="I77" s="299"/>
      <c r="J77" s="300">
        <f>J65+J67+J75</f>
        <v>1926934.7249999999</v>
      </c>
      <c r="K77" s="17"/>
      <c r="L77" s="17"/>
    </row>
    <row r="78" spans="2:12" s="3" customFormat="1" ht="18" customHeight="1">
      <c r="B78" s="294"/>
      <c r="C78" s="295"/>
      <c r="D78" s="295"/>
      <c r="E78" s="295"/>
      <c r="F78" s="295"/>
      <c r="G78" s="295"/>
      <c r="H78" s="295"/>
      <c r="I78" s="295"/>
      <c r="J78" s="301"/>
      <c r="K78" s="17"/>
      <c r="L78" s="17"/>
    </row>
    <row r="79" spans="2:12" s="3" customFormat="1" ht="18" customHeight="1">
      <c r="B79" s="86"/>
      <c r="C79" s="86"/>
      <c r="D79" s="86"/>
      <c r="E79" s="86"/>
      <c r="F79" s="86"/>
      <c r="G79" s="25"/>
      <c r="H79" s="86"/>
      <c r="I79" s="86"/>
      <c r="J79" s="27"/>
      <c r="K79" s="17"/>
      <c r="L79" s="17"/>
    </row>
    <row r="80" spans="2:12" s="3" customFormat="1" ht="18" customHeight="1">
      <c r="B80" s="86"/>
      <c r="C80" s="86"/>
      <c r="D80" s="86"/>
      <c r="E80" s="86"/>
      <c r="F80" s="86"/>
      <c r="G80" s="25"/>
      <c r="H80" s="86"/>
      <c r="I80" s="86"/>
      <c r="J80" s="27"/>
      <c r="K80" s="17"/>
      <c r="L80" s="17"/>
    </row>
    <row r="81" spans="2:12" ht="18" customHeight="1">
      <c r="B81" s="259" t="s">
        <v>95</v>
      </c>
      <c r="C81" s="260"/>
      <c r="D81" s="260"/>
      <c r="E81" s="260"/>
      <c r="F81" s="260"/>
      <c r="G81" s="260"/>
      <c r="H81" s="260"/>
      <c r="I81" s="260"/>
      <c r="J81" s="261"/>
      <c r="K81" s="17"/>
      <c r="L81" s="24"/>
    </row>
    <row r="82" spans="2:12" ht="18" customHeight="1">
      <c r="B82" s="291" t="s">
        <v>36</v>
      </c>
      <c r="C82" s="292"/>
      <c r="D82" s="292"/>
      <c r="E82" s="292"/>
      <c r="F82" s="292"/>
      <c r="G82" s="292"/>
      <c r="H82" s="292"/>
      <c r="I82" s="292"/>
      <c r="J82" s="293"/>
      <c r="K82" s="17"/>
      <c r="L82" s="24"/>
    </row>
    <row r="83" spans="2:12" s="3" customFormat="1" ht="18" customHeight="1">
      <c r="B83" s="302" t="s">
        <v>99</v>
      </c>
      <c r="C83" s="302"/>
      <c r="D83" s="302"/>
      <c r="E83" s="303" t="s">
        <v>98</v>
      </c>
      <c r="F83" s="304"/>
      <c r="G83" s="304"/>
      <c r="H83" s="304"/>
      <c r="I83" s="304"/>
      <c r="J83" s="305"/>
      <c r="K83" s="17"/>
      <c r="L83" s="24"/>
    </row>
    <row r="84" spans="2:12" s="3" customFormat="1" ht="18" customHeight="1">
      <c r="B84" s="302"/>
      <c r="C84" s="302"/>
      <c r="D84" s="302"/>
      <c r="E84" s="243">
        <f>G84*0.9</f>
        <v>360</v>
      </c>
      <c r="F84" s="243"/>
      <c r="G84" s="262">
        <f>E14</f>
        <v>400</v>
      </c>
      <c r="H84" s="262"/>
      <c r="I84" s="243">
        <f>G84*1.1</f>
        <v>440.00000000000006</v>
      </c>
      <c r="J84" s="243"/>
      <c r="K84" s="17"/>
      <c r="L84" s="24"/>
    </row>
    <row r="85" spans="2:12" s="3" customFormat="1" ht="18" customHeight="1">
      <c r="B85" s="243">
        <f>B86*0.9</f>
        <v>6480</v>
      </c>
      <c r="C85" s="243"/>
      <c r="D85" s="243"/>
      <c r="E85" s="282">
        <f>E$84*$B$85-Hoja1!$C$41</f>
        <v>468505.27500000014</v>
      </c>
      <c r="F85" s="282"/>
      <c r="G85" s="282">
        <f>G$84*$B$85-Hoja1!$C$41</f>
        <v>727705.2750000001</v>
      </c>
      <c r="H85" s="282"/>
      <c r="I85" s="282">
        <f>I$84*$B$85-Hoja1!$C$41</f>
        <v>986905.2750000006</v>
      </c>
      <c r="J85" s="282"/>
      <c r="K85" s="17"/>
      <c r="L85" s="24"/>
    </row>
    <row r="86" spans="2:12" s="3" customFormat="1" ht="18" customHeight="1">
      <c r="B86" s="243">
        <f>E13</f>
        <v>7200</v>
      </c>
      <c r="C86" s="243"/>
      <c r="D86" s="243"/>
      <c r="E86" s="282">
        <f>E$84*$B$86-$J$77</f>
        <v>665065.2750000001</v>
      </c>
      <c r="F86" s="282"/>
      <c r="G86" s="282">
        <f>G$84*$B$86-$J$77</f>
        <v>953065.2750000001</v>
      </c>
      <c r="H86" s="282"/>
      <c r="I86" s="282">
        <f>I$84*$B$86-$J$77</f>
        <v>1241065.2750000006</v>
      </c>
      <c r="J86" s="282"/>
      <c r="K86" s="17"/>
      <c r="L86" s="24"/>
    </row>
    <row r="87" spans="2:12" s="3" customFormat="1" ht="18" customHeight="1">
      <c r="B87" s="243">
        <f>B86*1.1</f>
        <v>7920.000000000001</v>
      </c>
      <c r="C87" s="243"/>
      <c r="D87" s="243"/>
      <c r="E87" s="282">
        <f>E$84*$B$87-Hoja1!$D$41</f>
        <v>861625.2750000006</v>
      </c>
      <c r="F87" s="282"/>
      <c r="G87" s="282">
        <f>G$84*$B$87-Hoja1!$D$41</f>
        <v>1178425.2750000006</v>
      </c>
      <c r="H87" s="282"/>
      <c r="I87" s="282">
        <f>I$84*$B$87-Hoja1!$D$41</f>
        <v>1495225.275000001</v>
      </c>
      <c r="J87" s="282"/>
      <c r="K87" s="17"/>
      <c r="L87" s="24"/>
    </row>
    <row r="88" spans="2:12" s="3" customFormat="1" ht="18" customHeight="1">
      <c r="B88" s="34"/>
      <c r="C88" s="34"/>
      <c r="D88" s="35"/>
      <c r="E88" s="35"/>
      <c r="F88" s="35"/>
      <c r="G88" s="36"/>
      <c r="H88" s="13"/>
      <c r="I88" s="16"/>
      <c r="J88" s="16"/>
      <c r="K88" s="17"/>
      <c r="L88" s="24"/>
    </row>
    <row r="89" spans="2:12" s="3" customFormat="1" ht="18" customHeight="1">
      <c r="B89" s="283" t="s">
        <v>107</v>
      </c>
      <c r="C89" s="284"/>
      <c r="D89" s="284"/>
      <c r="E89" s="284"/>
      <c r="F89" s="284"/>
      <c r="G89" s="284"/>
      <c r="H89" s="284"/>
      <c r="I89" s="284"/>
      <c r="J89" s="285"/>
      <c r="K89" s="17"/>
      <c r="L89" s="24"/>
    </row>
    <row r="90" spans="2:12" s="3" customFormat="1" ht="18" customHeight="1">
      <c r="B90" s="286"/>
      <c r="C90" s="287"/>
      <c r="D90" s="287"/>
      <c r="E90" s="287"/>
      <c r="F90" s="287"/>
      <c r="G90" s="287"/>
      <c r="H90" s="287"/>
      <c r="I90" s="287"/>
      <c r="J90" s="288"/>
      <c r="K90" s="17"/>
      <c r="L90" s="24"/>
    </row>
    <row r="91" spans="2:12" s="3" customFormat="1" ht="18" customHeight="1">
      <c r="B91" s="289" t="s">
        <v>99</v>
      </c>
      <c r="C91" s="221"/>
      <c r="D91" s="221"/>
      <c r="E91" s="221">
        <f>B85</f>
        <v>6480</v>
      </c>
      <c r="F91" s="221"/>
      <c r="G91" s="221">
        <f>E13</f>
        <v>7200</v>
      </c>
      <c r="H91" s="221"/>
      <c r="I91" s="221">
        <f>B87</f>
        <v>7920.000000000001</v>
      </c>
      <c r="J91" s="223"/>
      <c r="K91" s="17"/>
      <c r="L91" s="24"/>
    </row>
    <row r="92" spans="2:12" ht="18" customHeight="1">
      <c r="B92" s="290"/>
      <c r="C92" s="222"/>
      <c r="D92" s="222"/>
      <c r="E92" s="222"/>
      <c r="F92" s="222"/>
      <c r="G92" s="222"/>
      <c r="H92" s="222"/>
      <c r="I92" s="222"/>
      <c r="J92" s="224"/>
      <c r="K92" s="17"/>
      <c r="L92" s="24"/>
    </row>
    <row r="93" spans="2:12" ht="18" customHeight="1">
      <c r="B93" s="235" t="s">
        <v>106</v>
      </c>
      <c r="C93" s="236"/>
      <c r="D93" s="236"/>
      <c r="E93" s="239">
        <f>Hoja1!C41/Lechuga!E91</f>
        <v>287.6998032407407</v>
      </c>
      <c r="F93" s="239"/>
      <c r="G93" s="241">
        <f>$J$77/G91</f>
        <v>267.6298229166666</v>
      </c>
      <c r="H93" s="241"/>
      <c r="I93" s="239">
        <f>Hoja1!D41/Lechuga!I91</f>
        <v>251.20892992424237</v>
      </c>
      <c r="J93" s="240"/>
      <c r="K93" s="17"/>
      <c r="L93" s="24"/>
    </row>
    <row r="94" spans="2:12" ht="18" customHeight="1">
      <c r="B94" s="237"/>
      <c r="C94" s="238"/>
      <c r="D94" s="238"/>
      <c r="E94" s="241"/>
      <c r="F94" s="241"/>
      <c r="G94" s="241"/>
      <c r="H94" s="241"/>
      <c r="I94" s="241"/>
      <c r="J94" s="242"/>
      <c r="K94" s="17"/>
      <c r="L94" s="24"/>
    </row>
    <row r="95" spans="2:12" ht="18" customHeight="1">
      <c r="B95" s="46"/>
      <c r="C95" s="1"/>
      <c r="D95" s="3"/>
      <c r="E95" s="3"/>
      <c r="F95" s="112"/>
      <c r="G95" s="112"/>
      <c r="H95" s="112"/>
      <c r="I95" s="16"/>
      <c r="J95" s="16"/>
      <c r="K95" s="17"/>
      <c r="L95" s="24"/>
    </row>
    <row r="96" spans="2:11" s="3" customFormat="1" ht="18" customHeight="1">
      <c r="B96" s="256" t="s">
        <v>30</v>
      </c>
      <c r="C96" s="257"/>
      <c r="D96" s="257"/>
      <c r="E96" s="257"/>
      <c r="F96" s="257"/>
      <c r="G96" s="257"/>
      <c r="H96" s="257"/>
      <c r="I96" s="257"/>
      <c r="J96" s="258"/>
      <c r="K96" s="82"/>
    </row>
    <row r="97" spans="2:14" s="3" customFormat="1" ht="16.5" customHeight="1">
      <c r="B97" s="252" t="s">
        <v>122</v>
      </c>
      <c r="C97" s="253"/>
      <c r="D97" s="253"/>
      <c r="E97" s="253"/>
      <c r="F97" s="253"/>
      <c r="G97" s="253"/>
      <c r="H97" s="253"/>
      <c r="I97" s="253"/>
      <c r="J97" s="254"/>
      <c r="K97" s="82"/>
      <c r="N97" s="113"/>
    </row>
    <row r="98" spans="2:14" s="3" customFormat="1" ht="15.75" customHeight="1">
      <c r="B98" s="218" t="s">
        <v>121</v>
      </c>
      <c r="C98" s="219"/>
      <c r="D98" s="219"/>
      <c r="E98" s="219"/>
      <c r="F98" s="219"/>
      <c r="G98" s="219"/>
      <c r="H98" s="219"/>
      <c r="I98" s="219"/>
      <c r="J98" s="220"/>
      <c r="K98" s="82"/>
      <c r="N98" s="113"/>
    </row>
    <row r="99" spans="2:11" s="3" customFormat="1" ht="19.5" customHeight="1">
      <c r="B99" s="252" t="s">
        <v>90</v>
      </c>
      <c r="C99" s="253"/>
      <c r="D99" s="253"/>
      <c r="E99" s="253"/>
      <c r="F99" s="253"/>
      <c r="G99" s="253"/>
      <c r="H99" s="253"/>
      <c r="I99" s="253"/>
      <c r="J99" s="254"/>
      <c r="K99" s="83"/>
    </row>
    <row r="100" spans="2:11" s="3" customFormat="1" ht="15.75" customHeight="1">
      <c r="B100" s="252"/>
      <c r="C100" s="253"/>
      <c r="D100" s="253"/>
      <c r="E100" s="253"/>
      <c r="F100" s="253"/>
      <c r="G100" s="253"/>
      <c r="H100" s="253"/>
      <c r="I100" s="253"/>
      <c r="J100" s="254"/>
      <c r="K100" s="82"/>
    </row>
    <row r="101" spans="2:11" s="3" customFormat="1" ht="18" customHeight="1">
      <c r="B101" s="252" t="s">
        <v>92</v>
      </c>
      <c r="C101" s="253"/>
      <c r="D101" s="253"/>
      <c r="E101" s="253"/>
      <c r="F101" s="253"/>
      <c r="G101" s="253"/>
      <c r="H101" s="253"/>
      <c r="I101" s="253"/>
      <c r="J101" s="254"/>
      <c r="K101" s="82"/>
    </row>
    <row r="102" spans="2:11" s="3" customFormat="1" ht="18" customHeight="1">
      <c r="B102" s="252" t="s">
        <v>93</v>
      </c>
      <c r="C102" s="253"/>
      <c r="D102" s="253"/>
      <c r="E102" s="253"/>
      <c r="F102" s="253"/>
      <c r="G102" s="253"/>
      <c r="H102" s="253"/>
      <c r="I102" s="253"/>
      <c r="J102" s="254"/>
      <c r="K102" s="82"/>
    </row>
    <row r="103" spans="2:11" s="3" customFormat="1" ht="18">
      <c r="B103" s="229" t="s">
        <v>96</v>
      </c>
      <c r="C103" s="230"/>
      <c r="D103" s="230"/>
      <c r="E103" s="230"/>
      <c r="F103" s="230"/>
      <c r="G103" s="230"/>
      <c r="H103" s="230"/>
      <c r="I103" s="230"/>
      <c r="J103" s="231"/>
      <c r="K103" s="82"/>
    </row>
    <row r="104" spans="2:11" s="3" customFormat="1" ht="18" customHeight="1">
      <c r="B104" s="249" t="s">
        <v>97</v>
      </c>
      <c r="C104" s="250"/>
      <c r="D104" s="250"/>
      <c r="E104" s="250"/>
      <c r="F104" s="250"/>
      <c r="G104" s="250"/>
      <c r="H104" s="250"/>
      <c r="I104" s="250"/>
      <c r="J104" s="251"/>
      <c r="K104" s="83"/>
    </row>
    <row r="105" spans="2:11" s="3" customFormat="1" ht="18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3"/>
    </row>
    <row r="106" spans="2:11" s="3" customFormat="1" ht="16.5" customHeight="1">
      <c r="B106" s="39"/>
      <c r="C106" s="39"/>
      <c r="D106" s="39"/>
      <c r="E106" s="39"/>
      <c r="F106" s="39"/>
      <c r="G106" s="40"/>
      <c r="H106" s="39"/>
      <c r="I106" s="39"/>
      <c r="J106" s="39"/>
      <c r="K106" s="10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10"/>
    </row>
    <row r="108" spans="2:11" s="3" customFormat="1" ht="15">
      <c r="B108" s="6"/>
      <c r="C108" s="6"/>
      <c r="D108" s="6"/>
      <c r="E108" s="6"/>
      <c r="F108" s="6"/>
      <c r="G108" s="7"/>
      <c r="H108" s="6"/>
      <c r="I108" s="6"/>
      <c r="J108" s="6"/>
      <c r="K108" s="10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ht="18">
      <c r="B115" s="56"/>
      <c r="C115" s="56"/>
      <c r="D115" s="57"/>
      <c r="E115" s="57"/>
      <c r="F115" s="58"/>
      <c r="G115" s="58"/>
      <c r="H115" s="58"/>
      <c r="I115" s="67"/>
      <c r="J115" s="67"/>
      <c r="K115" s="69"/>
      <c r="L115" s="67"/>
    </row>
    <row r="116" spans="2:12" ht="18">
      <c r="B116" s="56"/>
      <c r="C116" s="59"/>
      <c r="D116" s="59"/>
      <c r="E116" s="60"/>
      <c r="F116" s="59"/>
      <c r="G116" s="61"/>
      <c r="H116" s="62"/>
      <c r="I116" s="67"/>
      <c r="J116" s="67"/>
      <c r="K116" s="69"/>
      <c r="L116" s="67"/>
    </row>
    <row r="117" spans="2:12" ht="18">
      <c r="B117" s="57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56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70"/>
      <c r="C119" s="71"/>
      <c r="D119" s="71"/>
      <c r="E119" s="63"/>
      <c r="F119" s="63"/>
      <c r="G119" s="63"/>
      <c r="H119" s="63"/>
      <c r="I119" s="67"/>
      <c r="J119" s="69"/>
      <c r="K119" s="69"/>
      <c r="L119" s="67"/>
    </row>
    <row r="120" spans="2:12" ht="18">
      <c r="B120" s="70"/>
      <c r="C120" s="71"/>
      <c r="D120" s="71"/>
      <c r="E120" s="63"/>
      <c r="F120" s="63"/>
      <c r="G120" s="63"/>
      <c r="H120" s="63"/>
      <c r="I120" s="67"/>
      <c r="J120" s="69"/>
      <c r="K120" s="69"/>
      <c r="L120" s="67"/>
    </row>
    <row r="121" spans="2:12" ht="18">
      <c r="B121" s="64"/>
      <c r="C121" s="65"/>
      <c r="D121" s="65"/>
      <c r="E121" s="64"/>
      <c r="F121" s="64"/>
      <c r="G121" s="64"/>
      <c r="H121" s="66"/>
      <c r="I121" s="67"/>
      <c r="J121" s="67"/>
      <c r="K121" s="69"/>
      <c r="L121" s="67"/>
    </row>
    <row r="122" spans="2:12" ht="18">
      <c r="B122" s="57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56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278"/>
      <c r="C126" s="278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64"/>
      <c r="C137" s="65"/>
      <c r="D137" s="65"/>
      <c r="E137" s="64"/>
      <c r="F137" s="64"/>
      <c r="G137" s="64"/>
      <c r="H137" s="66"/>
      <c r="I137" s="67"/>
      <c r="J137" s="67"/>
      <c r="K137" s="69"/>
      <c r="L137" s="67"/>
    </row>
    <row r="138" spans="2:12" ht="18">
      <c r="B138" s="57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8">
      <c r="B139" s="64"/>
      <c r="C139" s="65"/>
      <c r="D139" s="65"/>
      <c r="E139" s="64"/>
      <c r="F139" s="64"/>
      <c r="G139" s="64"/>
      <c r="H139" s="66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77"/>
      <c r="C150" s="77"/>
      <c r="D150" s="77"/>
      <c r="E150" s="77"/>
      <c r="F150" s="7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9"/>
      <c r="D153" s="69"/>
      <c r="E153" s="69"/>
      <c r="F153" s="69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9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9"/>
      <c r="D160" s="69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8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9"/>
      <c r="C173" s="69"/>
      <c r="D173" s="69"/>
      <c r="E173" s="69"/>
      <c r="F173" s="69"/>
      <c r="G173" s="69"/>
      <c r="H173" s="69"/>
      <c r="I173" s="69"/>
      <c r="J173" s="67"/>
      <c r="K173" s="69"/>
      <c r="L173" s="67"/>
    </row>
    <row r="174" spans="2:12" s="3" customFormat="1" ht="15">
      <c r="B174" s="69"/>
      <c r="C174" s="69"/>
      <c r="D174" s="69"/>
      <c r="E174" s="69"/>
      <c r="F174" s="69"/>
      <c r="G174" s="78"/>
      <c r="H174" s="69"/>
      <c r="I174" s="69"/>
      <c r="J174" s="67"/>
      <c r="K174" s="69"/>
      <c r="L174" s="78"/>
    </row>
    <row r="175" spans="2:12" s="3" customFormat="1" ht="15">
      <c r="B175" s="69"/>
      <c r="C175" s="69"/>
      <c r="D175" s="69"/>
      <c r="E175" s="69"/>
      <c r="F175" s="69"/>
      <c r="G175" s="69"/>
      <c r="H175" s="69"/>
      <c r="I175" s="7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</sheetData>
  <sheetProtection/>
  <mergeCells count="112">
    <mergeCell ref="B21:D21"/>
    <mergeCell ref="E32:F32"/>
    <mergeCell ref="E23:F23"/>
    <mergeCell ref="E34:F34"/>
    <mergeCell ref="B31:D31"/>
    <mergeCell ref="E31:F31"/>
    <mergeCell ref="B28:I28"/>
    <mergeCell ref="B30:D30"/>
    <mergeCell ref="E26:F26"/>
    <mergeCell ref="B22:D22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E27:F27"/>
    <mergeCell ref="B24:D24"/>
    <mergeCell ref="B25:D25"/>
    <mergeCell ref="B27:D27"/>
    <mergeCell ref="E30:F30"/>
    <mergeCell ref="B26:D26"/>
    <mergeCell ref="E24:F24"/>
    <mergeCell ref="E25:F25"/>
    <mergeCell ref="B73:D73"/>
    <mergeCell ref="B72:D72"/>
    <mergeCell ref="B40:D40"/>
    <mergeCell ref="B47:D47"/>
    <mergeCell ref="B49:D49"/>
    <mergeCell ref="B43:D43"/>
    <mergeCell ref="B44:D44"/>
    <mergeCell ref="B70:D70"/>
    <mergeCell ref="E35:F35"/>
    <mergeCell ref="B33:D33"/>
    <mergeCell ref="L71:O71"/>
    <mergeCell ref="E56:F56"/>
    <mergeCell ref="E53:F53"/>
    <mergeCell ref="B35:D35"/>
    <mergeCell ref="E33:F33"/>
    <mergeCell ref="E43:F43"/>
    <mergeCell ref="E40:F40"/>
    <mergeCell ref="E62:F62"/>
    <mergeCell ref="I86:J86"/>
    <mergeCell ref="B82:J82"/>
    <mergeCell ref="B75:I75"/>
    <mergeCell ref="E74:F74"/>
    <mergeCell ref="B77:I78"/>
    <mergeCell ref="J77:J78"/>
    <mergeCell ref="B83:D84"/>
    <mergeCell ref="E83:J83"/>
    <mergeCell ref="B89:J90"/>
    <mergeCell ref="E91:F92"/>
    <mergeCell ref="G86:H86"/>
    <mergeCell ref="E85:F85"/>
    <mergeCell ref="G87:H87"/>
    <mergeCell ref="I87:J87"/>
    <mergeCell ref="G85:H85"/>
    <mergeCell ref="B85:D85"/>
    <mergeCell ref="B91:D92"/>
    <mergeCell ref="E87:F87"/>
    <mergeCell ref="B126:C126"/>
    <mergeCell ref="B97:J97"/>
    <mergeCell ref="B71:D71"/>
    <mergeCell ref="B87:D87"/>
    <mergeCell ref="E84:F84"/>
    <mergeCell ref="E93:F94"/>
    <mergeCell ref="G93:H94"/>
    <mergeCell ref="I85:J85"/>
    <mergeCell ref="B86:D86"/>
    <mergeCell ref="E86:F86"/>
    <mergeCell ref="B36:D36"/>
    <mergeCell ref="B46:D46"/>
    <mergeCell ref="B42:D42"/>
    <mergeCell ref="E42:F42"/>
    <mergeCell ref="B37:I37"/>
    <mergeCell ref="B39:D39"/>
    <mergeCell ref="E39:F39"/>
    <mergeCell ref="E44:F44"/>
    <mergeCell ref="E36:F36"/>
    <mergeCell ref="B104:J104"/>
    <mergeCell ref="B99:J100"/>
    <mergeCell ref="B102:J102"/>
    <mergeCell ref="E71:F71"/>
    <mergeCell ref="E72:F72"/>
    <mergeCell ref="E70:F70"/>
    <mergeCell ref="B96:J96"/>
    <mergeCell ref="B101:J101"/>
    <mergeCell ref="B81:J81"/>
    <mergeCell ref="G84:H84"/>
    <mergeCell ref="E67:F67"/>
    <mergeCell ref="E46:F46"/>
    <mergeCell ref="E47:F47"/>
    <mergeCell ref="E60:F60"/>
    <mergeCell ref="E49:F49"/>
    <mergeCell ref="E50:F50"/>
    <mergeCell ref="B63:I63"/>
    <mergeCell ref="E59:F59"/>
    <mergeCell ref="B65:I65"/>
    <mergeCell ref="B98:J98"/>
    <mergeCell ref="G91:H92"/>
    <mergeCell ref="I91:J92"/>
    <mergeCell ref="E61:F61"/>
    <mergeCell ref="E73:F73"/>
    <mergeCell ref="B103:J103"/>
    <mergeCell ref="B74:D74"/>
    <mergeCell ref="B93:D94"/>
    <mergeCell ref="I93:J94"/>
    <mergeCell ref="I84:J8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19">
      <selection activeCell="E6" sqref="E6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34</v>
      </c>
      <c r="C2" s="50">
        <f>((Lechuga!E13-7200)/7200)+1</f>
        <v>1</v>
      </c>
    </row>
    <row r="3" ht="18">
      <c r="B3" s="14"/>
    </row>
    <row r="4" spans="2:3" ht="18">
      <c r="B4" s="334" t="s">
        <v>35</v>
      </c>
      <c r="C4" s="334"/>
    </row>
    <row r="5" spans="2:5" ht="18">
      <c r="B5" s="84" t="s">
        <v>59</v>
      </c>
      <c r="C5" s="173"/>
      <c r="D5" s="85"/>
      <c r="E5" s="3">
        <v>7200</v>
      </c>
    </row>
    <row r="7" spans="2:4" ht="15">
      <c r="B7" s="26"/>
      <c r="C7" s="26"/>
      <c r="D7" s="26"/>
    </row>
    <row r="15" spans="2:4" ht="15">
      <c r="B15" s="335" t="s">
        <v>29</v>
      </c>
      <c r="C15" s="335"/>
      <c r="D15" s="335"/>
    </row>
    <row r="17" spans="2:4" ht="18">
      <c r="B17" s="49" t="s">
        <v>33</v>
      </c>
      <c r="C17" s="48">
        <f>Lechuga!B85</f>
        <v>6480</v>
      </c>
      <c r="D17" s="48">
        <f>Lechuga!B87</f>
        <v>7920.000000000001</v>
      </c>
    </row>
    <row r="18" ht="15">
      <c r="B18" s="24"/>
    </row>
    <row r="19" spans="2:4" ht="15">
      <c r="B19" s="47" t="s">
        <v>34</v>
      </c>
      <c r="C19" s="50">
        <f>((C17-Lechuga!E13)/Lechuga!E13)+1</f>
        <v>0.9</v>
      </c>
      <c r="D19" s="50">
        <f>((D17-Lechuga!E13)/Lechuga!E13)+1</f>
        <v>1.1</v>
      </c>
    </row>
    <row r="20" spans="2:4" ht="18">
      <c r="B20" s="18"/>
      <c r="C20" s="48"/>
      <c r="D20" s="48"/>
    </row>
    <row r="21" spans="2:4" ht="18">
      <c r="B21" s="49" t="s">
        <v>19</v>
      </c>
      <c r="C21" s="48"/>
      <c r="D21" s="48"/>
    </row>
    <row r="22" spans="2:4" ht="18">
      <c r="B22" s="18" t="s">
        <v>37</v>
      </c>
      <c r="C22" s="10">
        <f>SUM(Lechuga!J22:J26)</f>
        <v>276000</v>
      </c>
      <c r="D22" s="10">
        <f>SUM(Lechuga!J22:J26)</f>
        <v>276000</v>
      </c>
    </row>
    <row r="23" spans="2:4" ht="18">
      <c r="B23" s="51" t="s">
        <v>38</v>
      </c>
      <c r="C23" s="52">
        <f>C19*Lechuga!G27*Lechuga!I27</f>
        <v>518400</v>
      </c>
      <c r="D23" s="52">
        <f>D19*Lechuga!G27*Lechuga!I27</f>
        <v>633600.0000000001</v>
      </c>
    </row>
    <row r="24" spans="2:4" ht="18">
      <c r="B24" s="18" t="s">
        <v>39</v>
      </c>
      <c r="C24" s="10">
        <f>SUM(C22:C23)</f>
        <v>794400</v>
      </c>
      <c r="D24" s="10">
        <f>SUM(D22:D23)</f>
        <v>909600.0000000001</v>
      </c>
    </row>
    <row r="25" ht="18">
      <c r="B25" s="18"/>
    </row>
    <row r="26" ht="18">
      <c r="B26" s="49" t="s">
        <v>21</v>
      </c>
    </row>
    <row r="27" spans="2:4" ht="18">
      <c r="B27" s="18" t="s">
        <v>37</v>
      </c>
      <c r="C27" s="10">
        <f>SUM(Lechuga!J31:J36)</f>
        <v>220000</v>
      </c>
      <c r="D27" s="10">
        <f>SUM(Lechuga!J31:J36)</f>
        <v>220000</v>
      </c>
    </row>
    <row r="28" spans="2:4" ht="18">
      <c r="B28" s="51" t="s">
        <v>38</v>
      </c>
      <c r="C28" s="52">
        <v>0</v>
      </c>
      <c r="D28" s="52">
        <v>0</v>
      </c>
    </row>
    <row r="29" spans="2:4" ht="18">
      <c r="B29" s="18" t="s">
        <v>39</v>
      </c>
      <c r="C29" s="10">
        <f>SUM(C27:C28)</f>
        <v>220000</v>
      </c>
      <c r="D29" s="10">
        <f>SUM(D27:D28)</f>
        <v>220000</v>
      </c>
    </row>
    <row r="31" ht="18">
      <c r="B31" s="49" t="s">
        <v>40</v>
      </c>
    </row>
    <row r="32" spans="2:4" ht="18">
      <c r="B32" s="18" t="s">
        <v>37</v>
      </c>
      <c r="C32" s="10">
        <f>SUM(Lechuga!J40:J62)</f>
        <v>699894</v>
      </c>
      <c r="D32" s="10">
        <f>SUM(Lechuga!J40:J62)</f>
        <v>699894</v>
      </c>
    </row>
    <row r="33" spans="2:4" ht="18">
      <c r="B33" s="51" t="s">
        <v>38</v>
      </c>
      <c r="C33" s="52">
        <v>0</v>
      </c>
      <c r="D33" s="52">
        <v>0</v>
      </c>
    </row>
    <row r="34" spans="2:4" ht="18">
      <c r="B34" s="18" t="s">
        <v>39</v>
      </c>
      <c r="C34" s="10">
        <f>SUM(C32:C33)</f>
        <v>699894</v>
      </c>
      <c r="D34" s="10">
        <f>SUM(D32:D33)</f>
        <v>699894</v>
      </c>
    </row>
    <row r="35" spans="2:4" ht="15">
      <c r="B35" s="24"/>
      <c r="C35" s="28"/>
      <c r="D35" s="28"/>
    </row>
    <row r="36" spans="2:4" ht="18">
      <c r="B36" s="54" t="s">
        <v>41</v>
      </c>
      <c r="C36" s="55">
        <f>C24+C29+C34</f>
        <v>1714294</v>
      </c>
      <c r="D36" s="55">
        <f>D24+D29+D34</f>
        <v>1829494</v>
      </c>
    </row>
    <row r="37" ht="15">
      <c r="B37" s="24"/>
    </row>
    <row r="38" spans="2:4" ht="18">
      <c r="B38" s="53" t="s">
        <v>0</v>
      </c>
      <c r="C38" s="10">
        <f>C36*Lechuga!G67</f>
        <v>85714.70000000001</v>
      </c>
      <c r="D38" s="10">
        <f>D36*Lechuga!G67</f>
        <v>91474.70000000001</v>
      </c>
    </row>
    <row r="39" spans="2:4" ht="18">
      <c r="B39" s="53" t="s">
        <v>25</v>
      </c>
      <c r="C39" s="10">
        <f>C36*Lechuga!E16*Lechuga!E17*0.5</f>
        <v>64286.025</v>
      </c>
      <c r="D39" s="10">
        <f>D36*Lechuga!E16*Lechuga!E17*0.5</f>
        <v>68606.025</v>
      </c>
    </row>
    <row r="40" ht="15">
      <c r="B40" s="24"/>
    </row>
    <row r="41" spans="2:4" ht="18">
      <c r="B41" s="54" t="s">
        <v>28</v>
      </c>
      <c r="C41" s="55">
        <f>C36+C38+C39</f>
        <v>1864294.7249999999</v>
      </c>
      <c r="D41" s="55">
        <f>D36+D38+D39</f>
        <v>1989574.7249999999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2014-07-30T20:38:12Z</cp:lastPrinted>
  <dcterms:created xsi:type="dcterms:W3CDTF">2012-07-09T18:51:50Z</dcterms:created>
  <dcterms:modified xsi:type="dcterms:W3CDTF">2014-07-31T18:50:50Z</dcterms:modified>
  <cp:category/>
  <cp:version/>
  <cp:contentType/>
  <cp:contentStatus/>
</cp:coreProperties>
</file>