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8" yWindow="288" windowWidth="18816" windowHeight="7140" activeTab="0"/>
  </bookViews>
  <sheets>
    <sheet name="Melón calameño mulch-túnel" sheetId="1" r:id="rId1"/>
    <sheet name="Hoja1" sheetId="2" r:id="rId2"/>
  </sheets>
  <definedNames>
    <definedName name="_xlnm.Print_Area" localSheetId="0">'Melón calameño mulch-túnel'!$A$1:$K$115</definedName>
  </definedNames>
  <calcPr fullCalcOnLoad="1"/>
</workbook>
</file>

<file path=xl/sharedStrings.xml><?xml version="1.0" encoding="utf-8"?>
<sst xmlns="http://schemas.openxmlformats.org/spreadsheetml/2006/main" count="206" uniqueCount="142">
  <si>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</si>
  <si>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</si>
  <si>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</si>
  <si>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</si>
  <si>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</si>
  <si>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</si>
  <si>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</si>
  <si>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</si>
  <si>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</si>
  <si>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</si>
  <si>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</si>
  <si>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</si>
  <si>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</si>
  <si>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</si>
  <si>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</si>
  <si>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</si>
  <si>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</si>
  <si>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</si>
  <si>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</si>
  <si>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</si>
  <si>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</si>
  <si>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</si>
  <si>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</si>
  <si>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</si>
  <si>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</si>
  <si>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</si>
  <si>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</si>
  <si>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</si>
  <si>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</si>
  <si>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</si>
  <si>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Aplicación fertilizantes</t>
  </si>
  <si>
    <t>Aplicación agroquímicos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</si>
  <si>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</si>
  <si>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</si>
  <si>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</si>
  <si>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</si>
  <si>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</si>
  <si>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</si>
  <si>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</si>
  <si>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</si>
  <si>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</si>
  <si>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</si>
  <si>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Cosecha (2)</t>
  </si>
  <si>
    <t>Kg</t>
  </si>
  <si>
    <t>ha</t>
  </si>
  <si>
    <t>Análisis</t>
  </si>
  <si>
    <t>Octubre</t>
  </si>
  <si>
    <t>Octubre-febrero</t>
  </si>
  <si>
    <t>Septiembre-octubre</t>
  </si>
  <si>
    <t>Octubre-noviembre</t>
  </si>
  <si>
    <t>Rastraje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</si>
  <si>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</si>
  <si>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</si>
  <si>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</si>
  <si>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</si>
  <si>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</si>
  <si>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</si>
  <si>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</si>
  <si>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</si>
  <si>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</si>
  <si>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Rendimiento (Un/ha):</t>
  </si>
  <si>
    <t>Plantación</t>
  </si>
  <si>
    <t>Riegos</t>
  </si>
  <si>
    <t xml:space="preserve">Aradura </t>
  </si>
  <si>
    <t>Acequiadura</t>
  </si>
  <si>
    <t xml:space="preserve">Cultivación y surcos de riego entre hileras </t>
  </si>
  <si>
    <t>Acarreo de insumos</t>
  </si>
  <si>
    <t>Planta</t>
  </si>
  <si>
    <t>Plántula</t>
  </si>
  <si>
    <t>Mezcla hortalicera</t>
  </si>
  <si>
    <t>Nitrato de Potasio</t>
  </si>
  <si>
    <t>Pirimor</t>
  </si>
  <si>
    <t>Fosfimax 40 - 20</t>
  </si>
  <si>
    <t>Terrasorb foliar</t>
  </si>
  <si>
    <t>Aliette 80% WP</t>
  </si>
  <si>
    <t xml:space="preserve"> 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</si>
  <si>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(4) Las dosis y tipos de fertilizantes recomendados son sólo referenciales, deben definirse según un análisis específico del terreno.</t>
  </si>
  <si>
    <t xml:space="preserve"> (6) Margen neto corresponde a ingresos totales (precio venta x rendimiento) menos los costos totales.</t>
  </si>
  <si>
    <t xml:space="preserve"> (7) Representa el precio de venta mínimo para cubrir los costos totales de producción.</t>
  </si>
  <si>
    <t>Precio ($/Un)</t>
  </si>
  <si>
    <t>Costo Unitario ($/Un)</t>
  </si>
  <si>
    <t>Precio($/Un)</t>
  </si>
  <si>
    <t>Rendimiento (Un/ha)</t>
  </si>
  <si>
    <t>Región O'Higgins</t>
  </si>
  <si>
    <t>Colocar mulch</t>
  </si>
  <si>
    <t>Colocar tuneles y arcos</t>
  </si>
  <si>
    <t>Junio-agosto</t>
  </si>
  <si>
    <t>Agosto-septiembre</t>
  </si>
  <si>
    <t>Manejo de tuneles para la aireación</t>
  </si>
  <si>
    <t>Agosto-enero</t>
  </si>
  <si>
    <t>Control manual de malezas</t>
  </si>
  <si>
    <t>Septiembre-diciembre</t>
  </si>
  <si>
    <t>Agosto-noviembre</t>
  </si>
  <si>
    <t>Septiembre-noviembre</t>
  </si>
  <si>
    <t>Diciembre-enero</t>
  </si>
  <si>
    <t>Melgadura, abonadura  y confección de mesa</t>
  </si>
  <si>
    <t>Cosecha: Sacar y cargar los bins a camión</t>
  </si>
  <si>
    <t>Muriato de Potasio</t>
  </si>
  <si>
    <t>Topas 200 EW</t>
  </si>
  <si>
    <t xml:space="preserve">  Noviembre</t>
  </si>
  <si>
    <t>Octubre-diciembre</t>
  </si>
  <si>
    <t>Agosto-octubre</t>
  </si>
  <si>
    <t>U</t>
  </si>
  <si>
    <t>Plástico mulch</t>
  </si>
  <si>
    <t>Mayo-junio</t>
  </si>
  <si>
    <t>Plástico túnel (2 temporadas)</t>
  </si>
  <si>
    <t>Junio-septiembre</t>
  </si>
  <si>
    <t>m2</t>
  </si>
  <si>
    <t>Bins</t>
  </si>
  <si>
    <t>Junio</t>
  </si>
  <si>
    <t>Junio-noviembre</t>
  </si>
  <si>
    <t>Variedad: Araucano</t>
  </si>
  <si>
    <t xml:space="preserve"> (1) El precio del melón calameño  para temprano utilizado en el análisis de sensibilidad, corresponde al promedio de la región durante el periodo de cosecha en el predio en la temporada 2014/15, precio al productor.</t>
  </si>
  <si>
    <t>Biozyme TF</t>
  </si>
  <si>
    <t>Melón calameño - en túnel con mulch</t>
  </si>
  <si>
    <t>1 hectárea marzo 2015</t>
  </si>
  <si>
    <t>Densidad (Plantas/ha): 10.000 (2mx0.5m)</t>
  </si>
  <si>
    <t xml:space="preserve">  Imprevistos (5% sobre el total de los costos)</t>
  </si>
  <si>
    <t>Envolver guías (3 a 4 veces)</t>
  </si>
  <si>
    <t>Manto térmico (2 años)</t>
  </si>
  <si>
    <t>Arco de fierro (duración 5 años)</t>
  </si>
  <si>
    <t>Otros:</t>
  </si>
  <si>
    <t>Insecticidas:</t>
  </si>
  <si>
    <t>Fungicidas:</t>
  </si>
  <si>
    <t>Sacar tuneles y arcos para la otra temporada</t>
  </si>
  <si>
    <r>
      <t xml:space="preserve">Precio de venta mercado interno ($/Un): </t>
    </r>
    <r>
      <rPr>
        <b/>
        <vertAlign val="superscript"/>
        <sz val="14"/>
        <rFont val="Arial"/>
        <family val="2"/>
      </rPr>
      <t>(1)</t>
    </r>
  </si>
  <si>
    <r>
      <t xml:space="preserve">Cosecha </t>
    </r>
    <r>
      <rPr>
        <vertAlign val="superscript"/>
        <sz val="14"/>
        <rFont val="Arial"/>
        <family val="2"/>
      </rPr>
      <t>(2)</t>
    </r>
  </si>
  <si>
    <t xml:space="preserve"> (2) Sacar melón calameño con carretilla u otro implemento, seleccionar y cargar camión. Un bin lleva 400 de estos melones, en promedio.</t>
  </si>
  <si>
    <r>
      <t xml:space="preserve">Insumos (c) </t>
    </r>
    <r>
      <rPr>
        <b/>
        <vertAlign val="superscript"/>
        <sz val="14"/>
        <color indexed="9"/>
        <rFont val="Arial"/>
        <family val="2"/>
      </rPr>
      <t>(3)</t>
    </r>
  </si>
  <si>
    <r>
      <t xml:space="preserve">Fertilizantes </t>
    </r>
    <r>
      <rPr>
        <b/>
        <vertAlign val="superscript"/>
        <sz val="14"/>
        <rFont val="Arial"/>
        <family val="2"/>
      </rPr>
      <t>(4)</t>
    </r>
    <r>
      <rPr>
        <b/>
        <sz val="14"/>
        <rFont val="Arial"/>
        <family val="2"/>
      </rPr>
      <t>: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</si>
  <si>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</si>
  <si>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</si>
  <si>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>Costo Unitario ($/Un)</t>
    </r>
    <r>
      <rPr>
        <b/>
        <vertAlign val="superscript"/>
        <sz val="14"/>
        <color indexed="9"/>
        <rFont val="Arial"/>
        <family val="2"/>
      </rPr>
      <t xml:space="preserve"> (7)</t>
    </r>
  </si>
  <si>
    <t xml:space="preserve"> (5) el costo financiero equivalente a una tasa de interés mensual simple de 1,5% por sobre el total de los costos directos por el total de meses de duración del cultivo.</t>
  </si>
  <si>
    <t>Bins (duración 5 años )</t>
  </si>
  <si>
    <t>Análisis de suelo</t>
  </si>
  <si>
    <t>Tecnología de riego: por surco</t>
  </si>
  <si>
    <t>Manzate WG</t>
  </si>
  <si>
    <t>Karate con tecnología Zeon</t>
  </si>
  <si>
    <t>Trigard 75 WP</t>
  </si>
  <si>
    <t>Cosecha: diciembre-enero</t>
  </si>
  <si>
    <t>Plantación: agosto-septiembre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</si>
</sst>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  <xf numFmtId="0" fontId="5" fillId="0" borderId="10" applyNumberFormat="0" applyFill="0" applyAlignment="0" applyProtection="0"/>
  </cellStyleXfs>
  <cellXfs count="301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5" fillId="34" borderId="0" xfId="0" applyFont="1" applyFill="1" applyAlignment="1">
      <alignment/>
    </xf>
    <xf numFmtId="181" fontId="55" fillId="34" borderId="0" xfId="0" applyNumberFormat="1" applyFont="1" applyFill="1" applyAlignment="1">
      <alignment/>
    </xf>
    <xf numFmtId="0" fontId="56" fillId="34" borderId="0" xfId="0" applyFont="1" applyFill="1" applyAlignment="1">
      <alignment/>
    </xf>
    <xf numFmtId="181" fontId="56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7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58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7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7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58" fillId="34" borderId="0" xfId="0" applyFont="1" applyFill="1" applyBorder="1" applyAlignment="1">
      <alignment/>
    </xf>
    <xf numFmtId="3" fontId="10" fillId="34" borderId="0" xfId="67" applyNumberFormat="1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59" fillId="35" borderId="13" xfId="0" applyFont="1" applyFill="1" applyBorder="1" applyAlignment="1">
      <alignment horizontal="center"/>
    </xf>
    <xf numFmtId="17" fontId="10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5" xfId="67" applyNumberFormat="1" applyFont="1" applyFill="1" applyBorder="1" applyAlignment="1" applyProtection="1">
      <alignment/>
      <protection/>
    </xf>
    <xf numFmtId="3" fontId="0" fillId="34" borderId="15" xfId="0" applyNumberFormat="1" applyFill="1" applyBorder="1" applyAlignment="1">
      <alignment/>
    </xf>
    <xf numFmtId="0" fontId="60" fillId="0" borderId="0" xfId="56" applyFont="1" applyFill="1" applyBorder="1" applyAlignment="1" applyProtection="1">
      <alignment horizontal="left"/>
      <protection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0" fillId="0" borderId="0" xfId="56" applyFont="1" applyFill="1" applyBorder="1" applyAlignment="1" applyProtection="1">
      <alignment horizontal="center"/>
      <protection/>
    </xf>
    <xf numFmtId="4" fontId="60" fillId="0" borderId="0" xfId="56" applyNumberFormat="1" applyFont="1" applyFill="1" applyBorder="1" applyAlignment="1" applyProtection="1">
      <alignment/>
      <protection/>
    </xf>
    <xf numFmtId="3" fontId="60" fillId="0" borderId="0" xfId="56" applyNumberFormat="1" applyFont="1" applyFill="1" applyBorder="1" applyAlignment="1" applyProtection="1">
      <alignment/>
      <protection/>
    </xf>
    <xf numFmtId="3" fontId="60" fillId="0" borderId="0" xfId="56" applyNumberFormat="1" applyFont="1" applyFill="1" applyBorder="1" applyAlignment="1" applyProtection="1">
      <alignment horizontal="center"/>
      <protection/>
    </xf>
    <xf numFmtId="3" fontId="61" fillId="0" borderId="0" xfId="56" applyNumberFormat="1" applyFont="1" applyFill="1" applyBorder="1" applyAlignment="1">
      <alignment horizontal="right"/>
      <protection/>
    </xf>
    <xf numFmtId="0" fontId="60" fillId="0" borderId="0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center"/>
      <protection/>
    </xf>
    <xf numFmtId="3" fontId="60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181" fontId="39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61" fillId="0" borderId="0" xfId="56" applyFont="1" applyFill="1" applyBorder="1" applyAlignment="1">
      <alignment horizontal="left"/>
      <protection/>
    </xf>
    <xf numFmtId="0" fontId="61" fillId="0" borderId="0" xfId="56" applyFont="1" applyFill="1" applyBorder="1" applyAlignment="1">
      <alignment horizontal="center"/>
      <protection/>
    </xf>
    <xf numFmtId="180" fontId="61" fillId="0" borderId="0" xfId="67" applyFont="1" applyFill="1" applyBorder="1" applyAlignment="1" applyProtection="1">
      <alignment horizontal="left"/>
      <protection/>
    </xf>
    <xf numFmtId="0" fontId="61" fillId="0" borderId="0" xfId="56" applyFont="1" applyFill="1" applyBorder="1" applyAlignment="1" applyProtection="1">
      <alignment horizontal="center"/>
      <protection/>
    </xf>
    <xf numFmtId="3" fontId="61" fillId="0" borderId="0" xfId="56" applyNumberFormat="1" applyFont="1" applyFill="1" applyBorder="1" applyAlignment="1" applyProtection="1">
      <alignment horizontal="center"/>
      <protection/>
    </xf>
    <xf numFmtId="180" fontId="61" fillId="0" borderId="0" xfId="67" applyFont="1" applyFill="1" applyBorder="1" applyAlignment="1" applyProtection="1">
      <alignment horizontal="right"/>
      <protection/>
    </xf>
    <xf numFmtId="3" fontId="61" fillId="0" borderId="0" xfId="56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 horizontal="right"/>
    </xf>
    <xf numFmtId="181" fontId="10" fillId="34" borderId="12" xfId="56" applyNumberFormat="1" applyFont="1" applyFill="1" applyBorder="1" applyAlignment="1" applyProtection="1">
      <alignment horizontal="right"/>
      <protection/>
    </xf>
    <xf numFmtId="3" fontId="10" fillId="34" borderId="0" xfId="56" applyNumberFormat="1" applyFont="1" applyFill="1" applyBorder="1">
      <alignment/>
      <protection/>
    </xf>
    <xf numFmtId="3" fontId="57" fillId="34" borderId="0" xfId="0" applyNumberFormat="1" applyFont="1" applyFill="1" applyBorder="1" applyAlignment="1">
      <alignment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58" fillId="34" borderId="15" xfId="0" applyFont="1" applyFill="1" applyBorder="1" applyAlignment="1">
      <alignment/>
    </xf>
    <xf numFmtId="180" fontId="10" fillId="34" borderId="0" xfId="67" applyFont="1" applyFill="1" applyBorder="1" applyAlignment="1" applyProtection="1">
      <alignment/>
      <protection/>
    </xf>
    <xf numFmtId="0" fontId="57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17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17" xfId="56" applyNumberFormat="1" applyFont="1" applyFill="1" applyBorder="1" applyAlignment="1">
      <alignment horizontal="right"/>
      <protection/>
    </xf>
    <xf numFmtId="181" fontId="10" fillId="34" borderId="0" xfId="67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8" xfId="67" applyNumberFormat="1" applyFont="1" applyFill="1" applyBorder="1" applyAlignment="1">
      <alignment horizontal="left" vertical="center"/>
      <protection/>
    </xf>
    <xf numFmtId="0" fontId="10" fillId="34" borderId="15" xfId="55" applyFont="1" applyFill="1" applyBorder="1">
      <alignment/>
      <protection/>
    </xf>
    <xf numFmtId="3" fontId="8" fillId="34" borderId="12" xfId="55" applyNumberFormat="1" applyFont="1" applyFill="1" applyBorder="1" applyAlignment="1">
      <alignment horizontal="right"/>
      <protection/>
    </xf>
    <xf numFmtId="181" fontId="8" fillId="34" borderId="18" xfId="0" applyNumberFormat="1" applyFont="1" applyFill="1" applyBorder="1" applyAlignment="1">
      <alignment/>
    </xf>
    <xf numFmtId="3" fontId="8" fillId="34" borderId="12" xfId="56" applyNumberFormat="1" applyFont="1" applyFill="1" applyBorder="1" applyAlignment="1">
      <alignment/>
      <protection/>
    </xf>
    <xf numFmtId="181" fontId="61" fillId="23" borderId="19" xfId="56" applyNumberFormat="1" applyFont="1" applyFill="1" applyBorder="1" applyAlignment="1" applyProtection="1">
      <alignment horizontal="center" vertical="center" wrapText="1"/>
      <protection/>
    </xf>
    <xf numFmtId="0" fontId="61" fillId="23" borderId="19" xfId="56" applyFont="1" applyFill="1" applyBorder="1" applyAlignment="1" applyProtection="1">
      <alignment horizontal="center" vertical="center" wrapText="1"/>
      <protection/>
    </xf>
    <xf numFmtId="3" fontId="61" fillId="23" borderId="19" xfId="56" applyNumberFormat="1" applyFont="1" applyFill="1" applyBorder="1" applyAlignment="1" applyProtection="1">
      <alignment horizontal="center" vertical="center" wrapText="1"/>
      <protection/>
    </xf>
    <xf numFmtId="3" fontId="61" fillId="23" borderId="16" xfId="56" applyNumberFormat="1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7" fillId="34" borderId="0" xfId="0" applyNumberFormat="1" applyFont="1" applyFill="1" applyBorder="1" applyAlignment="1">
      <alignment/>
    </xf>
    <xf numFmtId="2" fontId="58" fillId="34" borderId="0" xfId="67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7" xfId="56" applyNumberFormat="1" applyFont="1" applyFill="1" applyBorder="1" applyAlignment="1" applyProtection="1">
      <alignment horizontal="right"/>
      <protection/>
    </xf>
    <xf numFmtId="185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6" xfId="0" applyNumberFormat="1" applyFont="1" applyFill="1" applyBorder="1" applyAlignment="1" applyProtection="1">
      <alignment horizontal="right"/>
      <protection/>
    </xf>
    <xf numFmtId="0" fontId="10" fillId="34" borderId="20" xfId="56" applyFont="1" applyFill="1" applyBorder="1" applyAlignment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180" fontId="62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181" fontId="10" fillId="34" borderId="22" xfId="56" applyNumberFormat="1" applyFont="1" applyFill="1" applyBorder="1" applyAlignment="1" applyProtection="1">
      <alignment horizontal="right"/>
      <protection/>
    </xf>
    <xf numFmtId="0" fontId="0" fillId="0" borderId="11" xfId="0" applyBorder="1" applyAlignment="1">
      <alignment/>
    </xf>
    <xf numFmtId="181" fontId="10" fillId="34" borderId="23" xfId="56" applyNumberFormat="1" applyFont="1" applyFill="1" applyBorder="1" applyAlignment="1" applyProtection="1">
      <alignment horizontal="right"/>
      <protection/>
    </xf>
    <xf numFmtId="181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2" xfId="56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horizontal="right"/>
      <protection/>
    </xf>
    <xf numFmtId="181" fontId="10" fillId="34" borderId="22" xfId="67" applyNumberFormat="1" applyFont="1" applyFill="1" applyBorder="1" applyAlignment="1" applyProtection="1">
      <alignment horizontal="right"/>
      <protection/>
    </xf>
    <xf numFmtId="180" fontId="10" fillId="34" borderId="11" xfId="67" applyFont="1" applyFill="1" applyBorder="1" applyAlignment="1">
      <alignment horizontal="right"/>
      <protection/>
    </xf>
    <xf numFmtId="0" fontId="10" fillId="34" borderId="20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17" fontId="10" fillId="34" borderId="18" xfId="67" applyNumberFormat="1" applyFont="1" applyFill="1" applyBorder="1" applyAlignment="1" applyProtection="1">
      <alignment/>
      <protection/>
    </xf>
    <xf numFmtId="181" fontId="10" fillId="34" borderId="15" xfId="67" applyNumberFormat="1" applyFont="1" applyFill="1" applyBorder="1" applyAlignment="1">
      <alignment/>
      <protection/>
    </xf>
    <xf numFmtId="0" fontId="57" fillId="34" borderId="15" xfId="0" applyFont="1" applyFill="1" applyBorder="1" applyAlignment="1">
      <alignment/>
    </xf>
    <xf numFmtId="3" fontId="8" fillId="34" borderId="15" xfId="67" applyNumberFormat="1" applyFont="1" applyFill="1" applyBorder="1" applyAlignment="1">
      <alignment/>
      <protection/>
    </xf>
    <xf numFmtId="3" fontId="62" fillId="34" borderId="12" xfId="67" applyNumberFormat="1" applyFont="1" applyFill="1" applyBorder="1" applyAlignment="1">
      <alignment/>
      <protection/>
    </xf>
    <xf numFmtId="180" fontId="10" fillId="34" borderId="2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180" fontId="62" fillId="34" borderId="11" xfId="67" applyFont="1" applyFill="1" applyBorder="1" applyAlignment="1" applyProtection="1">
      <alignment/>
      <protection/>
    </xf>
    <xf numFmtId="180" fontId="10" fillId="34" borderId="24" xfId="67" applyFont="1" applyFill="1" applyBorder="1" applyAlignment="1" applyProtection="1">
      <alignment/>
      <protection/>
    </xf>
    <xf numFmtId="180" fontId="10" fillId="34" borderId="14" xfId="67" applyFont="1" applyFill="1" applyBorder="1" applyAlignment="1" applyProtection="1">
      <alignment/>
      <protection/>
    </xf>
    <xf numFmtId="181" fontId="10" fillId="34" borderId="14" xfId="67" applyNumberFormat="1" applyFont="1" applyFill="1" applyBorder="1" applyAlignment="1" applyProtection="1">
      <alignment/>
      <protection/>
    </xf>
    <xf numFmtId="0" fontId="57" fillId="34" borderId="14" xfId="0" applyFont="1" applyFill="1" applyBorder="1" applyAlignment="1">
      <alignment/>
    </xf>
    <xf numFmtId="180" fontId="8" fillId="34" borderId="14" xfId="67" applyFont="1" applyFill="1" applyBorder="1" applyAlignment="1" applyProtection="1">
      <alignment/>
      <protection/>
    </xf>
    <xf numFmtId="180" fontId="62" fillId="34" borderId="17" xfId="67" applyFont="1" applyFill="1" applyBorder="1" applyAlignment="1" applyProtection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181" fontId="8" fillId="34" borderId="20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0" fontId="8" fillId="34" borderId="20" xfId="55" applyFont="1" applyFill="1" applyBorder="1" applyAlignment="1">
      <alignment horizontal="left"/>
      <protection/>
    </xf>
    <xf numFmtId="0" fontId="10" fillId="34" borderId="0" xfId="55" applyFont="1" applyFill="1" applyBorder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24" xfId="55" applyFont="1" applyFill="1" applyBorder="1" applyAlignment="1">
      <alignment horizontal="left"/>
      <protection/>
    </xf>
    <xf numFmtId="181" fontId="10" fillId="34" borderId="14" xfId="67" applyNumberFormat="1" applyFont="1" applyFill="1" applyBorder="1" applyAlignment="1">
      <alignment horizontal="center"/>
      <protection/>
    </xf>
    <xf numFmtId="0" fontId="58" fillId="34" borderId="14" xfId="0" applyFont="1" applyFill="1" applyBorder="1" applyAlignment="1">
      <alignment/>
    </xf>
    <xf numFmtId="0" fontId="8" fillId="34" borderId="17" xfId="55" applyFont="1" applyFill="1" applyBorder="1">
      <alignment/>
      <protection/>
    </xf>
    <xf numFmtId="181" fontId="62" fillId="34" borderId="24" xfId="0" applyNumberFormat="1" applyFont="1" applyFill="1" applyBorder="1" applyAlignment="1">
      <alignment/>
    </xf>
    <xf numFmtId="3" fontId="10" fillId="34" borderId="14" xfId="56" applyNumberFormat="1" applyFont="1" applyFill="1" applyBorder="1" applyAlignment="1">
      <alignment/>
      <protection/>
    </xf>
    <xf numFmtId="183" fontId="8" fillId="34" borderId="17" xfId="56" applyNumberFormat="1" applyFont="1" applyFill="1" applyBorder="1" applyAlignment="1">
      <alignment/>
      <protection/>
    </xf>
    <xf numFmtId="181" fontId="10" fillId="34" borderId="11" xfId="56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2" fontId="10" fillId="34" borderId="18" xfId="56" applyNumberFormat="1" applyFont="1" applyFill="1" applyBorder="1" applyAlignment="1" applyProtection="1">
      <alignment horizontal="right"/>
      <protection/>
    </xf>
    <xf numFmtId="2" fontId="10" fillId="34" borderId="22" xfId="56" applyNumberFormat="1" applyFont="1" applyFill="1" applyBorder="1" applyAlignment="1" applyProtection="1">
      <alignment horizontal="righ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2" fontId="11" fillId="34" borderId="0" xfId="67" applyNumberFormat="1" applyFont="1" applyFill="1" applyBorder="1" applyAlignment="1">
      <alignment vertical="center" wrapText="1"/>
      <protection/>
    </xf>
    <xf numFmtId="0" fontId="10" fillId="34" borderId="25" xfId="67" applyNumberFormat="1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16" xfId="67" applyNumberFormat="1" applyFont="1" applyFill="1" applyBorder="1" applyAlignment="1" applyProtection="1">
      <alignment horizontal="left"/>
      <protection/>
    </xf>
    <xf numFmtId="9" fontId="10" fillId="34" borderId="13" xfId="69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 horizontal="right"/>
      <protection/>
    </xf>
    <xf numFmtId="3" fontId="10" fillId="34" borderId="13" xfId="56" applyNumberFormat="1" applyFont="1" applyFill="1" applyBorder="1" applyAlignment="1" applyProtection="1">
      <alignment horizontal="right"/>
      <protection/>
    </xf>
    <xf numFmtId="0" fontId="10" fillId="34" borderId="24" xfId="56" applyFont="1" applyFill="1" applyBorder="1" applyAlignment="1" applyProtection="1">
      <alignment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8" fillId="34" borderId="20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10" fillId="34" borderId="18" xfId="67" applyNumberFormat="1" applyFont="1" applyFill="1" applyBorder="1" applyAlignment="1" applyProtection="1">
      <alignment horizontal="left"/>
      <protection/>
    </xf>
    <xf numFmtId="0" fontId="10" fillId="34" borderId="15" xfId="67" applyNumberFormat="1" applyFont="1" applyFill="1" applyBorder="1" applyAlignment="1" applyProtection="1">
      <alignment horizontal="left"/>
      <protection/>
    </xf>
    <xf numFmtId="0" fontId="8" fillId="34" borderId="20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61" fillId="23" borderId="19" xfId="56" applyFont="1" applyFill="1" applyBorder="1" applyAlignment="1" applyProtection="1">
      <alignment horizontal="center" vertical="center"/>
      <protection/>
    </xf>
    <xf numFmtId="0" fontId="10" fillId="34" borderId="2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12" xfId="56" applyFont="1" applyFill="1" applyBorder="1" applyAlignment="1">
      <alignment horizontal="center"/>
      <protection/>
    </xf>
    <xf numFmtId="3" fontId="12" fillId="0" borderId="20" xfId="53" applyNumberFormat="1" applyFont="1" applyFill="1" applyBorder="1" applyAlignment="1">
      <alignment horizontal="left" vertical="center"/>
      <protection/>
    </xf>
    <xf numFmtId="3" fontId="12" fillId="0" borderId="0" xfId="53" applyNumberFormat="1" applyFont="1" applyFill="1" applyBorder="1" applyAlignment="1">
      <alignment horizontal="left" vertical="center"/>
      <protection/>
    </xf>
    <xf numFmtId="3" fontId="12" fillId="0" borderId="11" xfId="53" applyNumberFormat="1" applyFont="1" applyFill="1" applyBorder="1" applyAlignment="1">
      <alignment horizontal="left" vertical="center"/>
      <protection/>
    </xf>
    <xf numFmtId="0" fontId="12" fillId="0" borderId="24" xfId="56" applyFont="1" applyFill="1" applyBorder="1" applyAlignment="1">
      <alignment horizontal="left" vertical="center" wrapText="1"/>
      <protection/>
    </xf>
    <xf numFmtId="0" fontId="12" fillId="0" borderId="14" xfId="56" applyFont="1" applyFill="1" applyBorder="1" applyAlignment="1">
      <alignment horizontal="left" vertical="center" wrapText="1"/>
      <protection/>
    </xf>
    <xf numFmtId="0" fontId="12" fillId="0" borderId="17" xfId="56" applyFont="1" applyFill="1" applyBorder="1" applyAlignment="1">
      <alignment horizontal="left" vertical="center" wrapText="1"/>
      <protection/>
    </xf>
    <xf numFmtId="3" fontId="8" fillId="37" borderId="25" xfId="0" applyNumberFormat="1" applyFont="1" applyFill="1" applyBorder="1" applyAlignment="1">
      <alignment horizontal="center"/>
    </xf>
    <xf numFmtId="3" fontId="8" fillId="37" borderId="16" xfId="0" applyNumberFormat="1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0" fillId="34" borderId="25" xfId="56" applyFont="1" applyFill="1" applyBorder="1" applyAlignment="1">
      <alignment horizontal="center"/>
      <protection/>
    </xf>
    <xf numFmtId="0" fontId="10" fillId="34" borderId="16" xfId="56" applyFont="1" applyFill="1" applyBorder="1" applyAlignment="1">
      <alignment horizontal="center"/>
      <protection/>
    </xf>
    <xf numFmtId="3" fontId="8" fillId="37" borderId="13" xfId="0" applyNumberFormat="1" applyFont="1" applyFill="1" applyBorder="1" applyAlignment="1">
      <alignment horizontal="center"/>
    </xf>
    <xf numFmtId="3" fontId="10" fillId="34" borderId="25" xfId="0" applyNumberFormat="1" applyFont="1" applyFill="1" applyBorder="1" applyAlignment="1">
      <alignment horizontal="center"/>
    </xf>
    <xf numFmtId="3" fontId="10" fillId="34" borderId="16" xfId="0" applyNumberFormat="1" applyFont="1" applyFill="1" applyBorder="1" applyAlignment="1">
      <alignment horizontal="center"/>
    </xf>
    <xf numFmtId="1" fontId="8" fillId="37" borderId="13" xfId="0" applyNumberFormat="1" applyFont="1" applyFill="1" applyBorder="1" applyAlignment="1">
      <alignment horizontal="center" vertical="center"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2" xfId="56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8" fillId="36" borderId="19" xfId="56" applyFont="1" applyFill="1" applyBorder="1" applyAlignment="1" applyProtection="1">
      <alignment horizontal="left" vertical="center"/>
      <protection/>
    </xf>
    <xf numFmtId="0" fontId="10" fillId="34" borderId="24" xfId="56" applyFont="1" applyFill="1" applyBorder="1" applyAlignment="1">
      <alignment horizontal="center"/>
      <protection/>
    </xf>
    <xf numFmtId="0" fontId="10" fillId="34" borderId="17" xfId="56" applyFont="1" applyFill="1" applyBorder="1" applyAlignment="1">
      <alignment horizontal="center"/>
      <protection/>
    </xf>
    <xf numFmtId="0" fontId="10" fillId="34" borderId="24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60" fillId="23" borderId="25" xfId="56" applyFont="1" applyFill="1" applyBorder="1" applyAlignment="1" applyProtection="1">
      <alignment horizontal="left"/>
      <protection/>
    </xf>
    <xf numFmtId="0" fontId="60" fillId="23" borderId="19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>
      <alignment horizontal="center" vertical="top" wrapText="1"/>
      <protection/>
    </xf>
    <xf numFmtId="0" fontId="10" fillId="34" borderId="12" xfId="56" applyFont="1" applyFill="1" applyBorder="1" applyAlignment="1">
      <alignment horizontal="center" vertical="top" wrapText="1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0" fontId="60" fillId="38" borderId="25" xfId="55" applyFont="1" applyFill="1" applyBorder="1" applyAlignment="1">
      <alignment horizontal="center"/>
      <protection/>
    </xf>
    <xf numFmtId="0" fontId="60" fillId="38" borderId="19" xfId="55" applyFont="1" applyFill="1" applyBorder="1" applyAlignment="1">
      <alignment horizontal="center"/>
      <protection/>
    </xf>
    <xf numFmtId="0" fontId="60" fillId="38" borderId="16" xfId="55" applyFont="1" applyFill="1" applyBorder="1" applyAlignment="1">
      <alignment horizont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8" fillId="34" borderId="14" xfId="56" applyFont="1" applyFill="1" applyBorder="1" applyAlignment="1" applyProtection="1">
      <alignment horizontal="center" vertical="center"/>
      <protection/>
    </xf>
    <xf numFmtId="17" fontId="60" fillId="38" borderId="18" xfId="67" applyNumberFormat="1" applyFont="1" applyFill="1" applyBorder="1" applyAlignment="1" applyProtection="1">
      <alignment horizontal="center"/>
      <protection/>
    </xf>
    <xf numFmtId="17" fontId="60" fillId="38" borderId="15" xfId="67" applyNumberFormat="1" applyFont="1" applyFill="1" applyBorder="1" applyAlignment="1" applyProtection="1">
      <alignment horizontal="center"/>
      <protection/>
    </xf>
    <xf numFmtId="17" fontId="60" fillId="38" borderId="12" xfId="67" applyNumberFormat="1" applyFont="1" applyFill="1" applyBorder="1" applyAlignment="1" applyProtection="1">
      <alignment horizontal="center"/>
      <protection/>
    </xf>
    <xf numFmtId="0" fontId="8" fillId="34" borderId="20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61" fillId="23" borderId="25" xfId="56" applyFont="1" applyFill="1" applyBorder="1" applyAlignment="1" applyProtection="1">
      <alignment horizontal="center" vertical="center"/>
      <protection/>
    </xf>
    <xf numFmtId="0" fontId="8" fillId="36" borderId="25" xfId="56" applyFont="1" applyFill="1" applyBorder="1" applyAlignment="1" applyProtection="1">
      <alignment horizontal="left"/>
      <protection/>
    </xf>
    <xf numFmtId="0" fontId="8" fillId="36" borderId="19" xfId="56" applyFont="1" applyFill="1" applyBorder="1" applyAlignment="1" applyProtection="1">
      <alignment horizontal="left"/>
      <protection/>
    </xf>
    <xf numFmtId="0" fontId="60" fillId="39" borderId="18" xfId="0" applyFont="1" applyFill="1" applyBorder="1" applyAlignment="1">
      <alignment horizontal="center"/>
    </xf>
    <xf numFmtId="0" fontId="60" fillId="39" borderId="15" xfId="0" applyFont="1" applyFill="1" applyBorder="1" applyAlignment="1">
      <alignment horizontal="center"/>
    </xf>
    <xf numFmtId="0" fontId="60" fillId="39" borderId="12" xfId="0" applyFont="1" applyFill="1" applyBorder="1" applyAlignment="1">
      <alignment horizontal="center"/>
    </xf>
    <xf numFmtId="0" fontId="60" fillId="39" borderId="24" xfId="0" applyFont="1" applyFill="1" applyBorder="1" applyAlignment="1">
      <alignment horizontal="center"/>
    </xf>
    <xf numFmtId="0" fontId="60" fillId="39" borderId="14" xfId="0" applyFont="1" applyFill="1" applyBorder="1" applyAlignment="1">
      <alignment horizontal="center"/>
    </xf>
    <xf numFmtId="0" fontId="60" fillId="39" borderId="17" xfId="0" applyFont="1" applyFill="1" applyBorder="1" applyAlignment="1">
      <alignment horizontal="center"/>
    </xf>
    <xf numFmtId="180" fontId="61" fillId="0" borderId="0" xfId="67" applyFont="1" applyFill="1" applyBorder="1" applyAlignment="1" applyProtection="1">
      <alignment horizontal="left"/>
      <protection/>
    </xf>
    <xf numFmtId="0" fontId="12" fillId="0" borderId="20" xfId="56" applyFont="1" applyFill="1" applyBorder="1" applyAlignment="1">
      <alignment horizontal="left" vertical="center" wrapText="1"/>
      <protection/>
    </xf>
    <xf numFmtId="0" fontId="12" fillId="0" borderId="0" xfId="56" applyFont="1" applyFill="1" applyBorder="1" applyAlignment="1">
      <alignment horizontal="left" vertical="center" wrapText="1"/>
      <protection/>
    </xf>
    <xf numFmtId="0" fontId="12" fillId="0" borderId="11" xfId="56" applyFont="1" applyFill="1" applyBorder="1" applyAlignment="1">
      <alignment horizontal="left" vertical="center" wrapText="1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19" xfId="0" applyFont="1" applyFill="1" applyBorder="1" applyAlignment="1" applyProtection="1">
      <alignment horizontal="left"/>
      <protection/>
    </xf>
    <xf numFmtId="3" fontId="12" fillId="0" borderId="20" xfId="53" applyNumberFormat="1" applyFont="1" applyFill="1" applyBorder="1" applyAlignment="1">
      <alignment horizontal="left" vertical="center" wrapText="1"/>
      <protection/>
    </xf>
    <xf numFmtId="3" fontId="12" fillId="0" borderId="0" xfId="53" applyNumberFormat="1" applyFont="1" applyFill="1" applyBorder="1" applyAlignment="1">
      <alignment horizontal="left" vertical="center" wrapText="1"/>
      <protection/>
    </xf>
    <xf numFmtId="3" fontId="12" fillId="0" borderId="11" xfId="53" applyNumberFormat="1" applyFont="1" applyFill="1" applyBorder="1" applyAlignment="1">
      <alignment horizontal="left" vertical="center" wrapText="1"/>
      <protection/>
    </xf>
    <xf numFmtId="0" fontId="10" fillId="34" borderId="2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4" xfId="0" applyNumberFormat="1" applyFont="1" applyFill="1" applyBorder="1" applyAlignment="1">
      <alignment horizontal="center" vertical="center"/>
    </xf>
    <xf numFmtId="0" fontId="8" fillId="36" borderId="18" xfId="56" applyFont="1" applyFill="1" applyBorder="1" applyAlignment="1" applyProtection="1">
      <alignment horizontal="left" vertical="center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24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3" fontId="8" fillId="36" borderId="12" xfId="56" applyNumberFormat="1" applyFont="1" applyFill="1" applyBorder="1" applyAlignment="1" applyProtection="1">
      <alignment horizontal="right" vertical="center"/>
      <protection/>
    </xf>
    <xf numFmtId="3" fontId="8" fillId="36" borderId="17" xfId="56" applyNumberFormat="1" applyFont="1" applyFill="1" applyBorder="1" applyAlignment="1" applyProtection="1">
      <alignment horizontal="right" vertical="center"/>
      <protection/>
    </xf>
    <xf numFmtId="3" fontId="12" fillId="34" borderId="20" xfId="53" applyNumberFormat="1" applyFont="1" applyFill="1" applyBorder="1" applyAlignment="1">
      <alignment horizontal="left" vertical="center"/>
      <protection/>
    </xf>
    <xf numFmtId="3" fontId="12" fillId="34" borderId="0" xfId="53" applyNumberFormat="1" applyFont="1" applyFill="1" applyBorder="1" applyAlignment="1">
      <alignment horizontal="left" vertical="center"/>
      <protection/>
    </xf>
    <xf numFmtId="3" fontId="12" fillId="34" borderId="11" xfId="53" applyNumberFormat="1" applyFont="1" applyFill="1" applyBorder="1" applyAlignment="1">
      <alignment horizontal="left" vertical="center"/>
      <protection/>
    </xf>
    <xf numFmtId="3" fontId="10" fillId="34" borderId="13" xfId="0" applyNumberFormat="1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3" fontId="8" fillId="37" borderId="18" xfId="0" applyNumberFormat="1" applyFont="1" applyFill="1" applyBorder="1" applyAlignment="1">
      <alignment horizontal="center" vertical="center"/>
    </xf>
    <xf numFmtId="3" fontId="8" fillId="37" borderId="1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/>
    </xf>
    <xf numFmtId="0" fontId="8" fillId="37" borderId="19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/>
    </xf>
    <xf numFmtId="3" fontId="8" fillId="37" borderId="12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0" fontId="60" fillId="39" borderId="18" xfId="0" applyFont="1" applyFill="1" applyBorder="1" applyAlignment="1">
      <alignment horizontal="center" vertical="center"/>
    </xf>
    <xf numFmtId="0" fontId="60" fillId="39" borderId="15" xfId="0" applyFont="1" applyFill="1" applyBorder="1" applyAlignment="1">
      <alignment horizontal="center" vertical="center"/>
    </xf>
    <xf numFmtId="0" fontId="60" fillId="39" borderId="12" xfId="0" applyFont="1" applyFill="1" applyBorder="1" applyAlignment="1">
      <alignment horizontal="center" vertical="center"/>
    </xf>
    <xf numFmtId="0" fontId="60" fillId="39" borderId="24" xfId="0" applyFont="1" applyFill="1" applyBorder="1" applyAlignment="1">
      <alignment horizontal="center" vertical="center"/>
    </xf>
    <xf numFmtId="0" fontId="60" fillId="39" borderId="14" xfId="0" applyFont="1" applyFill="1" applyBorder="1" applyAlignment="1">
      <alignment horizontal="center" vertical="center"/>
    </xf>
    <xf numFmtId="0" fontId="60" fillId="39" borderId="17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 wrapText="1"/>
    </xf>
    <xf numFmtId="3" fontId="12" fillId="0" borderId="18" xfId="53" applyNumberFormat="1" applyFont="1" applyFill="1" applyBorder="1" applyAlignment="1">
      <alignment horizontal="left" vertical="center" wrapText="1"/>
      <protection/>
    </xf>
    <xf numFmtId="3" fontId="12" fillId="0" borderId="15" xfId="53" applyNumberFormat="1" applyFont="1" applyFill="1" applyBorder="1" applyAlignment="1">
      <alignment horizontal="left" vertical="center" wrapText="1"/>
      <protection/>
    </xf>
    <xf numFmtId="3" fontId="12" fillId="0" borderId="12" xfId="53" applyNumberFormat="1" applyFont="1" applyFill="1" applyBorder="1" applyAlignment="1">
      <alignment horizontal="left" vertical="center" wrapText="1"/>
      <protection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7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4" fillId="34" borderId="14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2</xdr:col>
      <xdr:colOff>571500</xdr:colOff>
      <xdr:row>9</xdr:row>
      <xdr:rowOff>190500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495300"/>
          <a:ext cx="18192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1114425</xdr:colOff>
      <xdr:row>113</xdr:row>
      <xdr:rowOff>180975</xdr:rowOff>
    </xdr:from>
    <xdr:to>
      <xdr:col>2</xdr:col>
      <xdr:colOff>1000125</xdr:colOff>
      <xdr:row>114</xdr:row>
      <xdr:rowOff>57150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114425" y="25679400"/>
          <a:ext cx="22574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7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6.8515625" style="3" customWidth="1"/>
    <col min="2" max="4" width="18.7109375" style="0" customWidth="1"/>
    <col min="5" max="5" width="15.7109375" style="0" customWidth="1"/>
    <col min="6" max="6" width="15.2812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6.8515625" style="0" customWidth="1"/>
    <col min="11" max="11" width="21.0039062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10"/>
    </row>
    <row r="2" spans="2:10" s="3" customFormat="1" ht="18" customHeight="1">
      <c r="B2" s="231" t="s">
        <v>8</v>
      </c>
      <c r="C2" s="231"/>
      <c r="D2" s="231"/>
      <c r="E2" s="231"/>
      <c r="F2" s="231"/>
      <c r="G2" s="231"/>
      <c r="H2" s="231"/>
      <c r="I2" s="231"/>
      <c r="J2" s="231"/>
    </row>
    <row r="3" spans="2:11" s="3" customFormat="1" ht="18" customHeight="1">
      <c r="B3" s="172"/>
      <c r="C3" s="172"/>
      <c r="D3" s="235" t="s">
        <v>114</v>
      </c>
      <c r="E3" s="235"/>
      <c r="F3" s="235"/>
      <c r="G3" s="235"/>
      <c r="H3" s="235"/>
      <c r="I3" s="172"/>
      <c r="J3" s="172"/>
      <c r="K3" s="16"/>
    </row>
    <row r="4" spans="2:11" s="3" customFormat="1" ht="18" customHeight="1">
      <c r="B4" s="87"/>
      <c r="C4" s="106"/>
      <c r="D4" s="235" t="s">
        <v>83</v>
      </c>
      <c r="E4" s="235"/>
      <c r="F4" s="235"/>
      <c r="G4" s="235"/>
      <c r="H4" s="235"/>
      <c r="I4" s="106"/>
      <c r="J4" s="106"/>
      <c r="K4" s="16"/>
    </row>
    <row r="5" spans="2:11" s="3" customFormat="1" ht="18" customHeight="1">
      <c r="B5" s="44"/>
      <c r="C5" s="44"/>
      <c r="D5" s="107"/>
      <c r="E5" s="45"/>
      <c r="F5" s="45"/>
      <c r="G5" s="94"/>
      <c r="H5" s="45"/>
      <c r="I5" s="44"/>
      <c r="J5" s="108"/>
      <c r="K5" s="18"/>
    </row>
    <row r="6" spans="2:11" s="3" customFormat="1" ht="18" customHeight="1">
      <c r="B6" s="44"/>
      <c r="C6" s="44"/>
      <c r="D6" s="237" t="s">
        <v>56</v>
      </c>
      <c r="E6" s="238"/>
      <c r="F6" s="238"/>
      <c r="G6" s="238"/>
      <c r="H6" s="238"/>
      <c r="I6" s="238"/>
      <c r="J6" s="239"/>
      <c r="K6" s="18"/>
    </row>
    <row r="7" spans="2:11" s="3" customFormat="1" ht="18" customHeight="1">
      <c r="B7" s="44"/>
      <c r="C7" s="44"/>
      <c r="D7" s="137" t="s">
        <v>115</v>
      </c>
      <c r="E7" s="85"/>
      <c r="F7" s="85"/>
      <c r="G7" s="138" t="s">
        <v>111</v>
      </c>
      <c r="H7" s="139"/>
      <c r="I7" s="140"/>
      <c r="J7" s="141"/>
      <c r="K7" s="18"/>
    </row>
    <row r="8" spans="2:11" s="3" customFormat="1" ht="18" customHeight="1">
      <c r="B8" s="44"/>
      <c r="C8" s="44"/>
      <c r="D8" s="142" t="s">
        <v>136</v>
      </c>
      <c r="E8" s="86"/>
      <c r="F8" s="86"/>
      <c r="G8" s="143" t="s">
        <v>51</v>
      </c>
      <c r="H8" s="87"/>
      <c r="I8" s="88"/>
      <c r="J8" s="144"/>
      <c r="K8" s="18"/>
    </row>
    <row r="9" spans="2:11" s="3" customFormat="1" ht="18" customHeight="1">
      <c r="B9" s="44"/>
      <c r="C9" s="44"/>
      <c r="D9" s="142" t="s">
        <v>116</v>
      </c>
      <c r="E9" s="86"/>
      <c r="F9" s="86"/>
      <c r="G9" s="143" t="s">
        <v>52</v>
      </c>
      <c r="H9" s="87"/>
      <c r="I9" s="88"/>
      <c r="J9" s="144"/>
      <c r="K9" s="20"/>
    </row>
    <row r="10" spans="2:11" s="3" customFormat="1" ht="18" customHeight="1">
      <c r="B10" s="44"/>
      <c r="C10" s="44"/>
      <c r="D10" s="145" t="s">
        <v>141</v>
      </c>
      <c r="E10" s="146"/>
      <c r="F10" s="146"/>
      <c r="G10" s="147" t="s">
        <v>140</v>
      </c>
      <c r="H10" s="148"/>
      <c r="I10" s="149"/>
      <c r="J10" s="150"/>
      <c r="K10" s="20"/>
    </row>
    <row r="11" spans="2:11" s="3" customFormat="1" ht="18" customHeight="1">
      <c r="B11" s="44"/>
      <c r="C11" s="44"/>
      <c r="D11" s="28"/>
      <c r="E11" s="86"/>
      <c r="F11" s="86"/>
      <c r="G11" s="28"/>
      <c r="H11" s="87"/>
      <c r="I11" s="88"/>
      <c r="J11" s="122"/>
      <c r="K11" s="20"/>
    </row>
    <row r="12" spans="2:11" ht="17.25">
      <c r="B12" s="232" t="s">
        <v>57</v>
      </c>
      <c r="C12" s="233"/>
      <c r="D12" s="233"/>
      <c r="E12" s="234"/>
      <c r="F12" s="43"/>
      <c r="G12" s="232" t="s">
        <v>14</v>
      </c>
      <c r="H12" s="233"/>
      <c r="I12" s="233"/>
      <c r="J12" s="234"/>
      <c r="K12" s="18"/>
    </row>
    <row r="13" spans="2:11" ht="17.25">
      <c r="B13" s="97" t="s">
        <v>60</v>
      </c>
      <c r="C13" s="98"/>
      <c r="D13" s="85"/>
      <c r="E13" s="99">
        <v>26000</v>
      </c>
      <c r="F13" s="44"/>
      <c r="G13" s="100" t="s">
        <v>7</v>
      </c>
      <c r="H13" s="85"/>
      <c r="I13" s="85"/>
      <c r="J13" s="101">
        <f>E13*E14</f>
        <v>8320000</v>
      </c>
      <c r="K13" s="18"/>
    </row>
    <row r="14" spans="2:11" ht="18.75">
      <c r="B14" s="240" t="s">
        <v>125</v>
      </c>
      <c r="C14" s="241"/>
      <c r="D14" s="241"/>
      <c r="E14" s="151">
        <v>320</v>
      </c>
      <c r="F14" s="44"/>
      <c r="G14" s="152" t="s">
        <v>10</v>
      </c>
      <c r="H14" s="44"/>
      <c r="I14" s="44"/>
      <c r="J14" s="153">
        <f>J33+J43+J73+J77</f>
        <v>5953238.55</v>
      </c>
      <c r="K14" s="18"/>
    </row>
    <row r="15" spans="2:11" ht="17.25">
      <c r="B15" s="154" t="s">
        <v>9</v>
      </c>
      <c r="C15" s="155"/>
      <c r="D15" s="44"/>
      <c r="E15" s="151">
        <v>13000</v>
      </c>
      <c r="F15" s="44"/>
      <c r="G15" s="152" t="s">
        <v>11</v>
      </c>
      <c r="H15" s="45"/>
      <c r="I15" s="44"/>
      <c r="J15" s="153">
        <f>J33+J43+J73+J77+J85</f>
        <v>6208377.345</v>
      </c>
      <c r="K15" s="18"/>
    </row>
    <row r="16" spans="2:11" ht="17.25">
      <c r="B16" s="154" t="s">
        <v>4</v>
      </c>
      <c r="C16" s="156"/>
      <c r="D16" s="44"/>
      <c r="E16" s="157">
        <v>0.015</v>
      </c>
      <c r="F16" s="44"/>
      <c r="G16" s="152" t="s">
        <v>12</v>
      </c>
      <c r="H16" s="44"/>
      <c r="I16" s="44"/>
      <c r="J16" s="153">
        <f>J13-J14</f>
        <v>2366761.45</v>
      </c>
      <c r="K16" s="18"/>
    </row>
    <row r="17" spans="2:11" ht="17.25">
      <c r="B17" s="158" t="s">
        <v>5</v>
      </c>
      <c r="C17" s="159"/>
      <c r="D17" s="160"/>
      <c r="E17" s="161">
        <v>6</v>
      </c>
      <c r="F17" s="44"/>
      <c r="G17" s="152" t="s">
        <v>13</v>
      </c>
      <c r="H17" s="44"/>
      <c r="I17" s="44"/>
      <c r="J17" s="153">
        <f>J13-J15</f>
        <v>2111622.6550000003</v>
      </c>
      <c r="K17" s="18"/>
    </row>
    <row r="18" spans="6:11" ht="17.25">
      <c r="F18" s="44"/>
      <c r="G18" s="162" t="s">
        <v>53</v>
      </c>
      <c r="H18" s="160"/>
      <c r="I18" s="163"/>
      <c r="J18" s="164">
        <f>G103</f>
        <v>238.78374403846152</v>
      </c>
      <c r="K18" s="18"/>
    </row>
    <row r="19" spans="2:11" s="3" customFormat="1" ht="17.25">
      <c r="B19" s="44"/>
      <c r="C19" s="44"/>
      <c r="D19" s="44"/>
      <c r="E19" s="22"/>
      <c r="F19" s="22"/>
      <c r="G19" s="23"/>
      <c r="H19" s="24"/>
      <c r="I19" s="25"/>
      <c r="J19" s="25"/>
      <c r="K19" s="18"/>
    </row>
    <row r="20" spans="2:11" s="3" customFormat="1" ht="21">
      <c r="B20" s="110" t="s">
        <v>54</v>
      </c>
      <c r="C20" s="109"/>
      <c r="D20" s="109"/>
      <c r="E20" s="236" t="s">
        <v>15</v>
      </c>
      <c r="F20" s="236"/>
      <c r="G20" s="111" t="s">
        <v>16</v>
      </c>
      <c r="H20" s="112" t="s">
        <v>17</v>
      </c>
      <c r="I20" s="113" t="s">
        <v>81</v>
      </c>
      <c r="J20" s="114" t="s">
        <v>3</v>
      </c>
      <c r="K20" s="18"/>
    </row>
    <row r="21" spans="2:11" s="3" customFormat="1" ht="17.25">
      <c r="B21" s="227" t="s">
        <v>19</v>
      </c>
      <c r="C21" s="228"/>
      <c r="D21" s="228"/>
      <c r="E21" s="193"/>
      <c r="F21" s="193"/>
      <c r="G21" s="102"/>
      <c r="H21" s="103"/>
      <c r="I21" s="104"/>
      <c r="J21" s="105"/>
      <c r="K21" s="18"/>
    </row>
    <row r="22" spans="2:11" s="3" customFormat="1" ht="17.25">
      <c r="B22" s="217" t="s">
        <v>84</v>
      </c>
      <c r="C22" s="218"/>
      <c r="D22" s="219"/>
      <c r="E22" s="196" t="s">
        <v>86</v>
      </c>
      <c r="F22" s="197"/>
      <c r="G22" s="80">
        <v>7</v>
      </c>
      <c r="H22" s="80" t="s">
        <v>6</v>
      </c>
      <c r="I22" s="123">
        <v>13000</v>
      </c>
      <c r="J22" s="11">
        <f aca="true" t="shared" si="0" ref="J22:J32">G22*I22</f>
        <v>91000</v>
      </c>
      <c r="K22" s="18"/>
    </row>
    <row r="23" spans="2:11" s="3" customFormat="1" ht="17.25">
      <c r="B23" s="214" t="s">
        <v>85</v>
      </c>
      <c r="C23" s="215"/>
      <c r="D23" s="216"/>
      <c r="E23" s="194" t="s">
        <v>86</v>
      </c>
      <c r="F23" s="195"/>
      <c r="G23" s="165">
        <v>11</v>
      </c>
      <c r="H23" s="165" t="s">
        <v>6</v>
      </c>
      <c r="I23" s="166">
        <v>13000</v>
      </c>
      <c r="J23" s="11">
        <f t="shared" si="0"/>
        <v>143000</v>
      </c>
      <c r="K23" s="18"/>
    </row>
    <row r="24" spans="2:11" s="3" customFormat="1" ht="17.25">
      <c r="B24" s="214" t="s">
        <v>61</v>
      </c>
      <c r="C24" s="215"/>
      <c r="D24" s="216"/>
      <c r="E24" s="194" t="s">
        <v>87</v>
      </c>
      <c r="F24" s="195"/>
      <c r="G24" s="165">
        <v>9</v>
      </c>
      <c r="H24" s="165" t="s">
        <v>6</v>
      </c>
      <c r="I24" s="166">
        <v>13000</v>
      </c>
      <c r="J24" s="11">
        <f t="shared" si="0"/>
        <v>117000</v>
      </c>
      <c r="K24" s="18"/>
    </row>
    <row r="25" spans="2:11" s="3" customFormat="1" ht="17.25">
      <c r="B25" s="214" t="s">
        <v>88</v>
      </c>
      <c r="C25" s="215"/>
      <c r="D25" s="216"/>
      <c r="E25" s="194" t="s">
        <v>87</v>
      </c>
      <c r="F25" s="195"/>
      <c r="G25" s="165">
        <v>7</v>
      </c>
      <c r="H25" s="165" t="s">
        <v>6</v>
      </c>
      <c r="I25" s="166">
        <v>13000</v>
      </c>
      <c r="J25" s="11">
        <f t="shared" si="0"/>
        <v>91000</v>
      </c>
      <c r="K25" s="18"/>
    </row>
    <row r="26" spans="2:11" s="3" customFormat="1" ht="17.25">
      <c r="B26" s="214" t="s">
        <v>124</v>
      </c>
      <c r="C26" s="215"/>
      <c r="D26" s="216"/>
      <c r="E26" s="194" t="s">
        <v>46</v>
      </c>
      <c r="F26" s="195"/>
      <c r="G26" s="165">
        <v>7</v>
      </c>
      <c r="H26" s="165" t="s">
        <v>6</v>
      </c>
      <c r="I26" s="166">
        <v>13000</v>
      </c>
      <c r="J26" s="11">
        <f t="shared" si="0"/>
        <v>91000</v>
      </c>
      <c r="K26" s="18"/>
    </row>
    <row r="27" spans="2:11" s="3" customFormat="1" ht="17.25">
      <c r="B27" s="214" t="s">
        <v>62</v>
      </c>
      <c r="C27" s="215"/>
      <c r="D27" s="216"/>
      <c r="E27" s="194" t="s">
        <v>89</v>
      </c>
      <c r="F27" s="195"/>
      <c r="G27" s="124">
        <v>8</v>
      </c>
      <c r="H27" s="124" t="s">
        <v>6</v>
      </c>
      <c r="I27" s="166">
        <v>13000</v>
      </c>
      <c r="J27" s="11">
        <f t="shared" si="0"/>
        <v>104000</v>
      </c>
      <c r="K27" s="18"/>
    </row>
    <row r="28" spans="2:11" s="3" customFormat="1" ht="17.25">
      <c r="B28" s="134" t="s">
        <v>90</v>
      </c>
      <c r="C28" s="135"/>
      <c r="D28" s="136"/>
      <c r="E28" s="194" t="s">
        <v>91</v>
      </c>
      <c r="F28" s="195"/>
      <c r="G28" s="165">
        <v>5</v>
      </c>
      <c r="H28" s="165" t="s">
        <v>6</v>
      </c>
      <c r="I28" s="166">
        <v>13000</v>
      </c>
      <c r="J28" s="11">
        <f t="shared" si="0"/>
        <v>65000</v>
      </c>
      <c r="K28" s="18"/>
    </row>
    <row r="29" spans="2:18" s="3" customFormat="1" ht="17.25">
      <c r="B29" s="214" t="s">
        <v>30</v>
      </c>
      <c r="C29" s="215"/>
      <c r="D29" s="216"/>
      <c r="E29" s="194" t="s">
        <v>92</v>
      </c>
      <c r="F29" s="195"/>
      <c r="G29" s="124">
        <v>3</v>
      </c>
      <c r="H29" s="124" t="s">
        <v>6</v>
      </c>
      <c r="I29" s="166">
        <v>13000</v>
      </c>
      <c r="J29" s="11">
        <f t="shared" si="0"/>
        <v>39000</v>
      </c>
      <c r="K29" s="18"/>
      <c r="R29" s="28"/>
    </row>
    <row r="30" spans="2:18" s="3" customFormat="1" ht="17.25">
      <c r="B30" s="214" t="s">
        <v>118</v>
      </c>
      <c r="C30" s="215"/>
      <c r="D30" s="216"/>
      <c r="E30" s="194" t="s">
        <v>93</v>
      </c>
      <c r="F30" s="195"/>
      <c r="G30" s="124">
        <v>4</v>
      </c>
      <c r="H30" s="124" t="s">
        <v>6</v>
      </c>
      <c r="I30" s="166">
        <v>13000</v>
      </c>
      <c r="J30" s="11">
        <f t="shared" si="0"/>
        <v>52000</v>
      </c>
      <c r="K30" s="18"/>
      <c r="R30" s="28"/>
    </row>
    <row r="31" spans="2:18" s="3" customFormat="1" ht="17.25">
      <c r="B31" s="214" t="s">
        <v>31</v>
      </c>
      <c r="C31" s="215"/>
      <c r="D31" s="216"/>
      <c r="E31" s="194" t="s">
        <v>47</v>
      </c>
      <c r="F31" s="195"/>
      <c r="G31" s="124">
        <v>4</v>
      </c>
      <c r="H31" s="124" t="s">
        <v>6</v>
      </c>
      <c r="I31" s="166">
        <v>13000</v>
      </c>
      <c r="J31" s="11">
        <f t="shared" si="0"/>
        <v>52000</v>
      </c>
      <c r="K31" s="18"/>
      <c r="R31" s="28"/>
    </row>
    <row r="32" spans="2:11" s="3" customFormat="1" ht="19.5">
      <c r="B32" s="224" t="s">
        <v>126</v>
      </c>
      <c r="C32" s="225"/>
      <c r="D32" s="226"/>
      <c r="E32" s="222" t="s">
        <v>94</v>
      </c>
      <c r="F32" s="223"/>
      <c r="G32" s="126">
        <f>ROUNDUP(Hoja1!D5*Hoja1!C2,0)</f>
        <v>65</v>
      </c>
      <c r="H32" s="126" t="s">
        <v>108</v>
      </c>
      <c r="I32" s="167">
        <v>7000</v>
      </c>
      <c r="J32" s="11">
        <f t="shared" si="0"/>
        <v>455000</v>
      </c>
      <c r="K32" s="18"/>
    </row>
    <row r="33" spans="2:11" ht="17.25">
      <c r="B33" s="220" t="s">
        <v>20</v>
      </c>
      <c r="C33" s="221"/>
      <c r="D33" s="221"/>
      <c r="E33" s="221"/>
      <c r="F33" s="221"/>
      <c r="G33" s="221"/>
      <c r="H33" s="221"/>
      <c r="I33" s="221"/>
      <c r="J33" s="89">
        <f>SUM(J22:J32)</f>
        <v>1300000</v>
      </c>
      <c r="K33" s="18"/>
    </row>
    <row r="34" spans="2:11" s="3" customFormat="1" ht="17.25">
      <c r="B34" s="83"/>
      <c r="C34" s="83"/>
      <c r="D34" s="83"/>
      <c r="E34" s="83"/>
      <c r="F34" s="83"/>
      <c r="G34" s="27"/>
      <c r="H34" s="83"/>
      <c r="I34" s="83"/>
      <c r="J34" s="29"/>
      <c r="K34" s="18"/>
    </row>
    <row r="35" spans="2:11" s="30" customFormat="1" ht="17.25">
      <c r="B35" s="227" t="s">
        <v>21</v>
      </c>
      <c r="C35" s="228"/>
      <c r="D35" s="228"/>
      <c r="E35" s="193"/>
      <c r="F35" s="193"/>
      <c r="G35" s="102"/>
      <c r="H35" s="103"/>
      <c r="I35" s="104"/>
      <c r="J35" s="105"/>
      <c r="K35" s="18"/>
    </row>
    <row r="36" spans="2:11" s="3" customFormat="1" ht="17.25">
      <c r="B36" s="217" t="s">
        <v>63</v>
      </c>
      <c r="C36" s="218"/>
      <c r="D36" s="218"/>
      <c r="E36" s="229" t="s">
        <v>109</v>
      </c>
      <c r="F36" s="230"/>
      <c r="G36" s="168">
        <v>1</v>
      </c>
      <c r="H36" s="127" t="s">
        <v>44</v>
      </c>
      <c r="I36" s="123">
        <v>70000</v>
      </c>
      <c r="J36" s="12">
        <f aca="true" t="shared" si="1" ref="J36:J42">I36*G36</f>
        <v>70000</v>
      </c>
      <c r="K36" s="18"/>
    </row>
    <row r="37" spans="2:11" s="3" customFormat="1" ht="17.25">
      <c r="B37" s="214" t="s">
        <v>50</v>
      </c>
      <c r="C37" s="215"/>
      <c r="D37" s="216"/>
      <c r="E37" s="194" t="s">
        <v>110</v>
      </c>
      <c r="F37" s="195"/>
      <c r="G37" s="169">
        <v>3</v>
      </c>
      <c r="H37" s="124" t="s">
        <v>44</v>
      </c>
      <c r="I37" s="166">
        <v>30000</v>
      </c>
      <c r="J37" s="13">
        <f t="shared" si="1"/>
        <v>90000</v>
      </c>
      <c r="K37" s="18"/>
    </row>
    <row r="38" spans="2:11" s="3" customFormat="1" ht="17.25">
      <c r="B38" s="214" t="s">
        <v>95</v>
      </c>
      <c r="C38" s="215"/>
      <c r="D38" s="216"/>
      <c r="E38" s="194" t="s">
        <v>86</v>
      </c>
      <c r="F38" s="195"/>
      <c r="G38" s="169">
        <v>1</v>
      </c>
      <c r="H38" s="124" t="s">
        <v>44</v>
      </c>
      <c r="I38" s="166">
        <v>50000</v>
      </c>
      <c r="J38" s="13">
        <f t="shared" si="1"/>
        <v>50000</v>
      </c>
      <c r="K38" s="18"/>
    </row>
    <row r="39" spans="2:11" s="3" customFormat="1" ht="17.25">
      <c r="B39" s="134" t="s">
        <v>64</v>
      </c>
      <c r="C39" s="135"/>
      <c r="D39" s="136"/>
      <c r="E39" s="194" t="s">
        <v>46</v>
      </c>
      <c r="F39" s="195"/>
      <c r="G39" s="169">
        <v>2</v>
      </c>
      <c r="H39" s="124" t="s">
        <v>44</v>
      </c>
      <c r="I39" s="166">
        <v>5000</v>
      </c>
      <c r="J39" s="13">
        <f t="shared" si="1"/>
        <v>10000</v>
      </c>
      <c r="K39" s="18"/>
    </row>
    <row r="40" spans="2:11" s="3" customFormat="1" ht="17.25">
      <c r="B40" s="214" t="s">
        <v>65</v>
      </c>
      <c r="C40" s="215"/>
      <c r="D40" s="216"/>
      <c r="E40" s="194" t="s">
        <v>49</v>
      </c>
      <c r="F40" s="195"/>
      <c r="G40" s="169">
        <v>2</v>
      </c>
      <c r="H40" s="124" t="s">
        <v>44</v>
      </c>
      <c r="I40" s="166">
        <v>25000</v>
      </c>
      <c r="J40" s="13">
        <f t="shared" si="1"/>
        <v>50000</v>
      </c>
      <c r="K40" s="18"/>
    </row>
    <row r="41" spans="2:11" s="3" customFormat="1" ht="17.25">
      <c r="B41" s="134" t="s">
        <v>66</v>
      </c>
      <c r="C41" s="135"/>
      <c r="D41" s="136"/>
      <c r="E41" s="194" t="s">
        <v>89</v>
      </c>
      <c r="F41" s="195"/>
      <c r="G41" s="169">
        <v>1</v>
      </c>
      <c r="H41" s="124" t="s">
        <v>44</v>
      </c>
      <c r="I41" s="166">
        <v>60000</v>
      </c>
      <c r="J41" s="13">
        <f t="shared" si="1"/>
        <v>60000</v>
      </c>
      <c r="K41" s="18"/>
    </row>
    <row r="42" spans="2:11" s="3" customFormat="1" ht="17.25">
      <c r="B42" s="214" t="s">
        <v>96</v>
      </c>
      <c r="C42" s="215"/>
      <c r="D42" s="216"/>
      <c r="E42" s="222" t="s">
        <v>94</v>
      </c>
      <c r="F42" s="223"/>
      <c r="G42" s="169">
        <f>ROUNDUP(Hoja1!D6*Hoja1!C2,0)</f>
        <v>65</v>
      </c>
      <c r="H42" s="124" t="s">
        <v>44</v>
      </c>
      <c r="I42" s="166">
        <v>1500</v>
      </c>
      <c r="J42" s="13">
        <f t="shared" si="1"/>
        <v>97500</v>
      </c>
      <c r="K42" s="18"/>
    </row>
    <row r="43" spans="2:12" ht="17.25">
      <c r="B43" s="220" t="s">
        <v>22</v>
      </c>
      <c r="C43" s="221"/>
      <c r="D43" s="221"/>
      <c r="E43" s="221"/>
      <c r="F43" s="221"/>
      <c r="G43" s="221"/>
      <c r="H43" s="221"/>
      <c r="I43" s="221"/>
      <c r="J43" s="89">
        <f>SUM(J36:J42)</f>
        <v>427500</v>
      </c>
      <c r="K43" s="18"/>
      <c r="L43" s="18"/>
    </row>
    <row r="44" spans="2:12" s="3" customFormat="1" ht="17.25">
      <c r="B44" s="83"/>
      <c r="C44" s="83"/>
      <c r="D44" s="83"/>
      <c r="E44" s="83"/>
      <c r="F44" s="83"/>
      <c r="G44" s="27"/>
      <c r="H44" s="83"/>
      <c r="I44" s="83"/>
      <c r="J44" s="29"/>
      <c r="K44" s="18"/>
      <c r="L44" s="21"/>
    </row>
    <row r="45" spans="2:12" s="3" customFormat="1" ht="18.75">
      <c r="B45" s="227" t="s">
        <v>128</v>
      </c>
      <c r="C45" s="228"/>
      <c r="D45" s="228"/>
      <c r="E45" s="193"/>
      <c r="F45" s="193"/>
      <c r="G45" s="102"/>
      <c r="H45" s="103"/>
      <c r="I45" s="104"/>
      <c r="J45" s="105"/>
      <c r="K45" s="18"/>
      <c r="L45" s="26"/>
    </row>
    <row r="46" spans="2:12" s="3" customFormat="1" ht="17.25">
      <c r="B46" s="189" t="s">
        <v>67</v>
      </c>
      <c r="C46" s="190"/>
      <c r="D46" s="190"/>
      <c r="E46" s="196" t="s">
        <v>86</v>
      </c>
      <c r="F46" s="197"/>
      <c r="G46" s="127">
        <v>10000</v>
      </c>
      <c r="H46" s="128" t="s">
        <v>68</v>
      </c>
      <c r="I46" s="12">
        <v>80</v>
      </c>
      <c r="J46" s="13">
        <f>G46*I46</f>
        <v>800000</v>
      </c>
      <c r="K46" s="18"/>
      <c r="L46" s="26"/>
    </row>
    <row r="47" spans="2:12" s="3" customFormat="1" ht="17.25">
      <c r="B47" s="184"/>
      <c r="C47" s="185"/>
      <c r="D47" s="185"/>
      <c r="E47" s="119"/>
      <c r="F47" s="121"/>
      <c r="G47" s="124"/>
      <c r="H47" s="129"/>
      <c r="I47" s="13"/>
      <c r="J47" s="13"/>
      <c r="K47" s="18"/>
      <c r="L47" s="26"/>
    </row>
    <row r="48" spans="2:12" s="3" customFormat="1" ht="18.75">
      <c r="B48" s="191" t="s">
        <v>129</v>
      </c>
      <c r="C48" s="192"/>
      <c r="D48" s="192"/>
      <c r="E48" s="194"/>
      <c r="F48" s="195"/>
      <c r="G48" s="130"/>
      <c r="H48" s="131"/>
      <c r="I48" s="13"/>
      <c r="J48" s="13"/>
      <c r="K48" s="18"/>
      <c r="L48" s="26"/>
    </row>
    <row r="49" spans="2:12" s="3" customFormat="1" ht="17.25">
      <c r="B49" s="184" t="s">
        <v>69</v>
      </c>
      <c r="C49" s="192"/>
      <c r="D49" s="192"/>
      <c r="E49" s="194" t="s">
        <v>87</v>
      </c>
      <c r="F49" s="195"/>
      <c r="G49" s="130">
        <v>400</v>
      </c>
      <c r="H49" s="131" t="s">
        <v>43</v>
      </c>
      <c r="I49" s="13">
        <v>351</v>
      </c>
      <c r="J49" s="13">
        <f>G49*I49</f>
        <v>140400</v>
      </c>
      <c r="K49" s="18"/>
      <c r="L49" s="26"/>
    </row>
    <row r="50" spans="2:12" s="3" customFormat="1" ht="17.25">
      <c r="B50" s="182" t="s">
        <v>70</v>
      </c>
      <c r="C50" s="183"/>
      <c r="D50" s="183"/>
      <c r="E50" s="194" t="s">
        <v>48</v>
      </c>
      <c r="F50" s="195"/>
      <c r="G50" s="124">
        <v>200</v>
      </c>
      <c r="H50" s="129" t="s">
        <v>43</v>
      </c>
      <c r="I50" s="13">
        <v>667</v>
      </c>
      <c r="J50" s="13">
        <f>G50*I50</f>
        <v>133400</v>
      </c>
      <c r="K50" s="18"/>
      <c r="L50" s="26"/>
    </row>
    <row r="51" spans="2:12" s="3" customFormat="1" ht="17.25">
      <c r="B51" s="184" t="s">
        <v>97</v>
      </c>
      <c r="C51" s="185"/>
      <c r="D51" s="185"/>
      <c r="E51" s="194" t="s">
        <v>87</v>
      </c>
      <c r="F51" s="195"/>
      <c r="G51" s="124">
        <v>200</v>
      </c>
      <c r="H51" s="129" t="s">
        <v>43</v>
      </c>
      <c r="I51" s="13">
        <v>318</v>
      </c>
      <c r="J51" s="13">
        <f>G51*I51</f>
        <v>63600</v>
      </c>
      <c r="K51" s="18"/>
      <c r="L51" s="26"/>
    </row>
    <row r="52" spans="2:12" s="3" customFormat="1" ht="17.25">
      <c r="B52" s="184"/>
      <c r="C52" s="185"/>
      <c r="D52" s="185"/>
      <c r="E52" s="132"/>
      <c r="F52" s="133"/>
      <c r="G52" s="124"/>
      <c r="H52" s="129"/>
      <c r="I52" s="13"/>
      <c r="J52" s="13"/>
      <c r="K52" s="18"/>
      <c r="L52" s="26"/>
    </row>
    <row r="53" spans="2:12" s="3" customFormat="1" ht="17.25">
      <c r="B53" s="187" t="s">
        <v>123</v>
      </c>
      <c r="C53" s="188"/>
      <c r="D53" s="188"/>
      <c r="E53" s="194"/>
      <c r="F53" s="195"/>
      <c r="G53" s="124"/>
      <c r="H53" s="129"/>
      <c r="I53" s="13"/>
      <c r="J53" s="13"/>
      <c r="K53" s="18"/>
      <c r="L53" s="26"/>
    </row>
    <row r="54" spans="2:12" s="3" customFormat="1" ht="17.25">
      <c r="B54" s="182" t="s">
        <v>137</v>
      </c>
      <c r="C54" s="183"/>
      <c r="D54" s="183"/>
      <c r="E54" s="194" t="s">
        <v>92</v>
      </c>
      <c r="F54" s="195"/>
      <c r="G54" s="124">
        <v>2</v>
      </c>
      <c r="H54" s="129" t="s">
        <v>43</v>
      </c>
      <c r="I54" s="13">
        <v>3588</v>
      </c>
      <c r="J54" s="13">
        <f>G54*I54</f>
        <v>7176</v>
      </c>
      <c r="K54" s="18"/>
      <c r="L54" s="26"/>
    </row>
    <row r="55" spans="2:12" s="3" customFormat="1" ht="17.25">
      <c r="B55" s="182" t="s">
        <v>98</v>
      </c>
      <c r="C55" s="183"/>
      <c r="D55" s="183"/>
      <c r="E55" s="194" t="s">
        <v>99</v>
      </c>
      <c r="F55" s="195"/>
      <c r="G55" s="124">
        <v>0.5</v>
      </c>
      <c r="H55" s="129" t="s">
        <v>43</v>
      </c>
      <c r="I55" s="13">
        <v>74000</v>
      </c>
      <c r="J55" s="13">
        <f>G55*I55</f>
        <v>37000</v>
      </c>
      <c r="K55" s="18"/>
      <c r="L55" s="26"/>
    </row>
    <row r="56" spans="2:12" s="3" customFormat="1" ht="17.25">
      <c r="B56" s="184" t="s">
        <v>74</v>
      </c>
      <c r="C56" s="185"/>
      <c r="D56" s="185"/>
      <c r="E56" s="194" t="s">
        <v>101</v>
      </c>
      <c r="F56" s="195"/>
      <c r="G56" s="130">
        <v>1</v>
      </c>
      <c r="H56" s="131" t="s">
        <v>43</v>
      </c>
      <c r="I56" s="13">
        <v>29500</v>
      </c>
      <c r="J56" s="13">
        <f>G56*I56</f>
        <v>29500</v>
      </c>
      <c r="K56" s="18"/>
      <c r="L56" s="26"/>
    </row>
    <row r="57" spans="2:12" s="3" customFormat="1" ht="17.25">
      <c r="B57" s="182"/>
      <c r="C57" s="183"/>
      <c r="D57" s="183"/>
      <c r="E57" s="194"/>
      <c r="F57" s="195"/>
      <c r="G57" s="124"/>
      <c r="H57" s="129"/>
      <c r="I57" s="13"/>
      <c r="J57" s="13"/>
      <c r="K57" s="18"/>
      <c r="L57" s="26"/>
    </row>
    <row r="58" spans="2:12" s="3" customFormat="1" ht="17.25">
      <c r="B58" s="187" t="s">
        <v>122</v>
      </c>
      <c r="C58" s="188"/>
      <c r="D58" s="188"/>
      <c r="E58" s="194"/>
      <c r="F58" s="195"/>
      <c r="G58" s="124"/>
      <c r="H58" s="129"/>
      <c r="I58" s="13"/>
      <c r="J58" s="13"/>
      <c r="K58" s="18"/>
      <c r="L58" s="26"/>
    </row>
    <row r="59" spans="2:12" s="3" customFormat="1" ht="17.25">
      <c r="B59" s="182" t="s">
        <v>71</v>
      </c>
      <c r="C59" s="183"/>
      <c r="D59" s="183"/>
      <c r="E59" s="194" t="s">
        <v>49</v>
      </c>
      <c r="F59" s="195"/>
      <c r="G59" s="130">
        <v>1</v>
      </c>
      <c r="H59" s="131" t="s">
        <v>41</v>
      </c>
      <c r="I59" s="13">
        <v>56300</v>
      </c>
      <c r="J59" s="13">
        <f>G59*I59</f>
        <v>56300</v>
      </c>
      <c r="K59" s="18"/>
      <c r="L59" s="26"/>
    </row>
    <row r="60" spans="2:12" s="3" customFormat="1" ht="17.25">
      <c r="B60" s="182" t="s">
        <v>138</v>
      </c>
      <c r="C60" s="183"/>
      <c r="D60" s="183"/>
      <c r="E60" s="194" t="s">
        <v>100</v>
      </c>
      <c r="F60" s="195"/>
      <c r="G60" s="130">
        <v>0.5</v>
      </c>
      <c r="H60" s="131" t="s">
        <v>41</v>
      </c>
      <c r="I60" s="13">
        <v>28400</v>
      </c>
      <c r="J60" s="13">
        <f>G60*I60</f>
        <v>14200</v>
      </c>
      <c r="K60" s="18"/>
      <c r="L60" s="26"/>
    </row>
    <row r="61" spans="2:12" s="3" customFormat="1" ht="17.25">
      <c r="B61" s="182" t="s">
        <v>139</v>
      </c>
      <c r="C61" s="183"/>
      <c r="D61" s="183"/>
      <c r="E61" s="194" t="s">
        <v>101</v>
      </c>
      <c r="F61" s="195"/>
      <c r="G61" s="124">
        <v>0.5</v>
      </c>
      <c r="H61" s="129" t="s">
        <v>43</v>
      </c>
      <c r="I61" s="13">
        <v>184500</v>
      </c>
      <c r="J61" s="13">
        <f>G61*I61</f>
        <v>92250</v>
      </c>
      <c r="K61" s="18"/>
      <c r="L61" s="26"/>
    </row>
    <row r="62" spans="2:12" s="3" customFormat="1" ht="17.25">
      <c r="B62" s="187"/>
      <c r="C62" s="188"/>
      <c r="D62" s="188"/>
      <c r="E62" s="194"/>
      <c r="F62" s="195"/>
      <c r="G62" s="124"/>
      <c r="H62" s="129"/>
      <c r="I62" s="13"/>
      <c r="J62" s="13"/>
      <c r="K62" s="18"/>
      <c r="L62" s="26"/>
    </row>
    <row r="63" spans="2:12" s="3" customFormat="1" ht="17.25">
      <c r="B63" s="191" t="s">
        <v>121</v>
      </c>
      <c r="C63" s="192"/>
      <c r="D63" s="192"/>
      <c r="E63" s="194"/>
      <c r="F63" s="195"/>
      <c r="G63" s="130"/>
      <c r="H63" s="131"/>
      <c r="I63" s="13"/>
      <c r="J63" s="13"/>
      <c r="K63" s="18"/>
      <c r="L63" s="26"/>
    </row>
    <row r="64" spans="2:12" s="3" customFormat="1" ht="17.25">
      <c r="B64" s="184" t="s">
        <v>72</v>
      </c>
      <c r="C64" s="185"/>
      <c r="D64" s="186"/>
      <c r="E64" s="194" t="s">
        <v>100</v>
      </c>
      <c r="F64" s="195"/>
      <c r="G64" s="130">
        <v>4</v>
      </c>
      <c r="H64" s="131" t="s">
        <v>41</v>
      </c>
      <c r="I64" s="13">
        <v>7850</v>
      </c>
      <c r="J64" s="13">
        <f>G64*I64</f>
        <v>31400</v>
      </c>
      <c r="K64" s="18"/>
      <c r="L64" s="26"/>
    </row>
    <row r="65" spans="2:12" s="3" customFormat="1" ht="17.25">
      <c r="B65" s="184" t="s">
        <v>113</v>
      </c>
      <c r="C65" s="185"/>
      <c r="D65" s="186"/>
      <c r="E65" s="194" t="s">
        <v>49</v>
      </c>
      <c r="F65" s="195"/>
      <c r="G65" s="130">
        <v>3</v>
      </c>
      <c r="H65" s="131" t="s">
        <v>41</v>
      </c>
      <c r="I65" s="13">
        <v>30175</v>
      </c>
      <c r="J65" s="13">
        <f aca="true" t="shared" si="2" ref="J65:J72">G65*I65</f>
        <v>90525</v>
      </c>
      <c r="K65" s="18"/>
      <c r="L65" s="26"/>
    </row>
    <row r="66" spans="2:12" s="3" customFormat="1" ht="17.25">
      <c r="B66" s="184" t="s">
        <v>73</v>
      </c>
      <c r="C66" s="185"/>
      <c r="D66" s="186"/>
      <c r="E66" s="194" t="s">
        <v>91</v>
      </c>
      <c r="F66" s="195"/>
      <c r="G66" s="130">
        <v>3</v>
      </c>
      <c r="H66" s="131" t="s">
        <v>41</v>
      </c>
      <c r="I66" s="13">
        <v>5500</v>
      </c>
      <c r="J66" s="13">
        <f t="shared" si="2"/>
        <v>16500</v>
      </c>
      <c r="K66" s="18"/>
      <c r="L66" s="26"/>
    </row>
    <row r="67" spans="2:12" s="3" customFormat="1" ht="17.25">
      <c r="B67" s="184" t="s">
        <v>120</v>
      </c>
      <c r="C67" s="185"/>
      <c r="D67" s="186"/>
      <c r="E67" s="194" t="s">
        <v>87</v>
      </c>
      <c r="F67" s="195"/>
      <c r="G67" s="130">
        <v>1000</v>
      </c>
      <c r="H67" s="131" t="s">
        <v>102</v>
      </c>
      <c r="I67" s="13">
        <v>150</v>
      </c>
      <c r="J67" s="13">
        <f t="shared" si="2"/>
        <v>150000</v>
      </c>
      <c r="K67" s="18"/>
      <c r="L67" s="26"/>
    </row>
    <row r="68" spans="2:12" s="3" customFormat="1" ht="17.25">
      <c r="B68" s="184" t="s">
        <v>103</v>
      </c>
      <c r="C68" s="185"/>
      <c r="D68" s="186"/>
      <c r="E68" s="194" t="s">
        <v>104</v>
      </c>
      <c r="F68" s="195"/>
      <c r="G68" s="130">
        <v>250</v>
      </c>
      <c r="H68" s="131" t="s">
        <v>43</v>
      </c>
      <c r="I68" s="13">
        <v>2000</v>
      </c>
      <c r="J68" s="13">
        <f t="shared" si="2"/>
        <v>500000</v>
      </c>
      <c r="K68" s="18"/>
      <c r="L68" s="26"/>
    </row>
    <row r="69" spans="2:12" s="3" customFormat="1" ht="17.25">
      <c r="B69" s="184" t="s">
        <v>105</v>
      </c>
      <c r="C69" s="185"/>
      <c r="D69" s="186"/>
      <c r="E69" s="194" t="s">
        <v>106</v>
      </c>
      <c r="F69" s="195"/>
      <c r="G69" s="130">
        <v>350</v>
      </c>
      <c r="H69" s="131" t="s">
        <v>43</v>
      </c>
      <c r="I69" s="13">
        <v>2000</v>
      </c>
      <c r="J69" s="13">
        <f t="shared" si="2"/>
        <v>700000</v>
      </c>
      <c r="K69" s="18"/>
      <c r="L69" s="26"/>
    </row>
    <row r="70" spans="2:12" s="3" customFormat="1" ht="17.25">
      <c r="B70" s="184" t="s">
        <v>119</v>
      </c>
      <c r="C70" s="185"/>
      <c r="D70" s="186"/>
      <c r="E70" s="194" t="s">
        <v>87</v>
      </c>
      <c r="F70" s="195"/>
      <c r="G70" s="130">
        <v>1000</v>
      </c>
      <c r="H70" s="131" t="s">
        <v>107</v>
      </c>
      <c r="I70" s="13">
        <v>150</v>
      </c>
      <c r="J70" s="13">
        <f t="shared" si="2"/>
        <v>150000</v>
      </c>
      <c r="K70" s="18"/>
      <c r="L70" s="26"/>
    </row>
    <row r="71" spans="2:12" s="3" customFormat="1" ht="17.25">
      <c r="B71" s="184" t="s">
        <v>134</v>
      </c>
      <c r="C71" s="185"/>
      <c r="D71" s="186"/>
      <c r="E71" s="194" t="s">
        <v>94</v>
      </c>
      <c r="F71" s="195"/>
      <c r="G71" s="130">
        <v>30</v>
      </c>
      <c r="H71" s="131" t="s">
        <v>108</v>
      </c>
      <c r="I71" s="13">
        <v>30000</v>
      </c>
      <c r="J71" s="13">
        <f t="shared" si="2"/>
        <v>900000</v>
      </c>
      <c r="K71" s="18"/>
      <c r="L71" s="26"/>
    </row>
    <row r="72" spans="2:12" s="3" customFormat="1" ht="17.25">
      <c r="B72" s="184" t="s">
        <v>135</v>
      </c>
      <c r="C72" s="185"/>
      <c r="D72" s="186"/>
      <c r="E72" s="222" t="s">
        <v>104</v>
      </c>
      <c r="F72" s="223"/>
      <c r="G72" s="130">
        <v>1</v>
      </c>
      <c r="H72" s="131" t="s">
        <v>45</v>
      </c>
      <c r="I72" s="13">
        <v>30000</v>
      </c>
      <c r="J72" s="13">
        <f t="shared" si="2"/>
        <v>30000</v>
      </c>
      <c r="K72" s="18"/>
      <c r="L72" s="26"/>
    </row>
    <row r="73" spans="2:14" ht="17.25">
      <c r="B73" s="255" t="s">
        <v>23</v>
      </c>
      <c r="C73" s="256"/>
      <c r="D73" s="256"/>
      <c r="E73" s="256"/>
      <c r="F73" s="256"/>
      <c r="G73" s="256"/>
      <c r="H73" s="256"/>
      <c r="I73" s="256"/>
      <c r="J73" s="118">
        <f>SUM(J46:J72)</f>
        <v>3942251</v>
      </c>
      <c r="M73" s="18"/>
      <c r="N73" s="18"/>
    </row>
    <row r="74" spans="2:14" s="3" customFormat="1" ht="17.25">
      <c r="B74" s="31"/>
      <c r="C74" s="31"/>
      <c r="D74" s="31"/>
      <c r="E74" s="31"/>
      <c r="F74" s="31"/>
      <c r="G74" s="32"/>
      <c r="H74" s="31"/>
      <c r="I74" s="31"/>
      <c r="J74" s="33"/>
      <c r="M74" s="18"/>
      <c r="N74" s="18"/>
    </row>
    <row r="75" spans="2:16" ht="17.25">
      <c r="B75" s="243" t="s">
        <v>24</v>
      </c>
      <c r="C75" s="244"/>
      <c r="D75" s="244"/>
      <c r="E75" s="244"/>
      <c r="F75" s="244"/>
      <c r="G75" s="244"/>
      <c r="H75" s="244"/>
      <c r="I75" s="244"/>
      <c r="J75" s="89">
        <f>J33+J43+J73</f>
        <v>5669751</v>
      </c>
      <c r="M75" s="18"/>
      <c r="N75" s="18"/>
      <c r="O75" s="10"/>
      <c r="P75" s="10"/>
    </row>
    <row r="76" spans="2:14" s="3" customFormat="1" ht="17.25">
      <c r="B76" s="84"/>
      <c r="C76" s="84"/>
      <c r="D76" s="84"/>
      <c r="E76" s="84"/>
      <c r="F76" s="84"/>
      <c r="G76" s="34"/>
      <c r="H76" s="84"/>
      <c r="I76" s="84"/>
      <c r="J76" s="29"/>
      <c r="M76" s="18"/>
      <c r="N76" s="18"/>
    </row>
    <row r="77" spans="2:12" s="3" customFormat="1" ht="17.25">
      <c r="B77" s="173" t="s">
        <v>117</v>
      </c>
      <c r="C77" s="174"/>
      <c r="D77" s="175"/>
      <c r="E77" s="208"/>
      <c r="F77" s="209"/>
      <c r="G77" s="176">
        <v>0.05</v>
      </c>
      <c r="H77" s="177"/>
      <c r="I77" s="178"/>
      <c r="J77" s="178">
        <f>J75*G77</f>
        <v>283487.55</v>
      </c>
      <c r="K77" s="18"/>
      <c r="L77" s="26"/>
    </row>
    <row r="78" spans="2:14" s="3" customFormat="1" ht="17.25">
      <c r="B78" s="171"/>
      <c r="C78" s="171"/>
      <c r="D78" s="171"/>
      <c r="E78" s="171"/>
      <c r="F78" s="171"/>
      <c r="G78" s="34"/>
      <c r="H78" s="171"/>
      <c r="I78" s="171"/>
      <c r="J78" s="29"/>
      <c r="M78" s="18"/>
      <c r="N78" s="18"/>
    </row>
    <row r="79" spans="2:14" s="3" customFormat="1" ht="21">
      <c r="B79" s="110" t="s">
        <v>59</v>
      </c>
      <c r="C79" s="109"/>
      <c r="D79" s="109"/>
      <c r="E79" s="22"/>
      <c r="F79" s="22"/>
      <c r="G79" s="23"/>
      <c r="H79" s="24"/>
      <c r="I79" s="25"/>
      <c r="J79" s="25"/>
      <c r="K79" s="10"/>
      <c r="M79" s="18"/>
      <c r="N79" s="18"/>
    </row>
    <row r="80" spans="2:14" s="3" customFormat="1" ht="17.25">
      <c r="B80" s="242" t="s">
        <v>58</v>
      </c>
      <c r="C80" s="193"/>
      <c r="D80" s="193"/>
      <c r="E80" s="193" t="s">
        <v>15</v>
      </c>
      <c r="F80" s="193"/>
      <c r="G80" s="102" t="s">
        <v>16</v>
      </c>
      <c r="H80" s="103" t="s">
        <v>17</v>
      </c>
      <c r="I80" s="104" t="s">
        <v>18</v>
      </c>
      <c r="J80" s="105" t="s">
        <v>3</v>
      </c>
      <c r="K80" s="10"/>
      <c r="M80" s="18"/>
      <c r="N80" s="18"/>
    </row>
    <row r="81" spans="2:15" s="3" customFormat="1" ht="19.5">
      <c r="B81" s="214" t="s">
        <v>130</v>
      </c>
      <c r="C81" s="215"/>
      <c r="D81" s="216"/>
      <c r="E81" s="196" t="s">
        <v>89</v>
      </c>
      <c r="F81" s="197"/>
      <c r="G81" s="116">
        <f>E16</f>
        <v>0.015</v>
      </c>
      <c r="H81" s="9" t="s">
        <v>1</v>
      </c>
      <c r="I81" s="117"/>
      <c r="J81" s="13">
        <f>J75*E16*E17*0.5</f>
        <v>255138.79499999998</v>
      </c>
      <c r="K81" s="10"/>
      <c r="L81" s="215"/>
      <c r="M81" s="215"/>
      <c r="N81" s="215"/>
      <c r="O81" s="215"/>
    </row>
    <row r="82" spans="2:14" s="3" customFormat="1" ht="17.25">
      <c r="B82" s="214" t="s">
        <v>26</v>
      </c>
      <c r="C82" s="215"/>
      <c r="D82" s="216"/>
      <c r="E82" s="206"/>
      <c r="F82" s="207"/>
      <c r="G82" s="90"/>
      <c r="H82" s="90"/>
      <c r="I82" s="90"/>
      <c r="J82" s="92"/>
      <c r="K82" s="10"/>
      <c r="M82" s="18"/>
      <c r="N82" s="18"/>
    </row>
    <row r="83" spans="2:14" s="3" customFormat="1" ht="17.25">
      <c r="B83" s="214" t="s">
        <v>2</v>
      </c>
      <c r="C83" s="215"/>
      <c r="D83" s="216"/>
      <c r="E83" s="206"/>
      <c r="F83" s="207"/>
      <c r="G83" s="90"/>
      <c r="H83" s="90"/>
      <c r="I83" s="90"/>
      <c r="J83" s="92"/>
      <c r="K83" s="10"/>
      <c r="M83" s="18"/>
      <c r="N83" s="18"/>
    </row>
    <row r="84" spans="2:14" s="3" customFormat="1" ht="17.25">
      <c r="B84" s="224" t="s">
        <v>27</v>
      </c>
      <c r="C84" s="225"/>
      <c r="D84" s="226"/>
      <c r="E84" s="276"/>
      <c r="F84" s="277"/>
      <c r="G84" s="91"/>
      <c r="H84" s="91"/>
      <c r="I84" s="91"/>
      <c r="J84" s="93"/>
      <c r="K84" s="10"/>
      <c r="M84" s="18"/>
      <c r="N84" s="18"/>
    </row>
    <row r="85" spans="2:14" ht="17.25">
      <c r="B85" s="220" t="s">
        <v>55</v>
      </c>
      <c r="C85" s="221"/>
      <c r="D85" s="221"/>
      <c r="E85" s="221"/>
      <c r="F85" s="221"/>
      <c r="G85" s="221"/>
      <c r="H85" s="221"/>
      <c r="I85" s="221"/>
      <c r="J85" s="115">
        <f>SUM(J81:J84)</f>
        <v>255138.79499999998</v>
      </c>
      <c r="M85" s="18"/>
      <c r="N85" s="18"/>
    </row>
    <row r="86" spans="2:12" s="3" customFormat="1" ht="18" customHeight="1">
      <c r="B86" s="83"/>
      <c r="C86" s="83"/>
      <c r="D86" s="83"/>
      <c r="E86" s="83"/>
      <c r="F86" s="83"/>
      <c r="G86" s="27"/>
      <c r="H86" s="83"/>
      <c r="I86" s="83"/>
      <c r="J86" s="29"/>
      <c r="K86" s="18"/>
      <c r="L86" s="18"/>
    </row>
    <row r="87" spans="2:12" ht="18" customHeight="1">
      <c r="B87" s="266" t="s">
        <v>28</v>
      </c>
      <c r="C87" s="267"/>
      <c r="D87" s="267"/>
      <c r="E87" s="267"/>
      <c r="F87" s="267"/>
      <c r="G87" s="267"/>
      <c r="H87" s="267"/>
      <c r="I87" s="267"/>
      <c r="J87" s="270">
        <f>J75+J77+J85</f>
        <v>6208377.345</v>
      </c>
      <c r="K87" s="18"/>
      <c r="L87" s="18"/>
    </row>
    <row r="88" spans="2:12" s="3" customFormat="1" ht="18" customHeight="1">
      <c r="B88" s="268"/>
      <c r="C88" s="269"/>
      <c r="D88" s="269"/>
      <c r="E88" s="269"/>
      <c r="F88" s="269"/>
      <c r="G88" s="269"/>
      <c r="H88" s="269"/>
      <c r="I88" s="269"/>
      <c r="J88" s="271"/>
      <c r="K88" s="18"/>
      <c r="L88" s="18"/>
    </row>
    <row r="89" spans="2:12" s="3" customFormat="1" ht="18" customHeight="1">
      <c r="B89" s="83"/>
      <c r="C89" s="83"/>
      <c r="D89" s="83"/>
      <c r="E89" s="83"/>
      <c r="F89" s="83"/>
      <c r="G89" s="27"/>
      <c r="H89" s="83"/>
      <c r="I89" s="83"/>
      <c r="J89" s="29"/>
      <c r="K89" s="18"/>
      <c r="L89" s="18"/>
    </row>
    <row r="90" spans="2:12" s="3" customFormat="1" ht="18" customHeight="1">
      <c r="B90" s="83"/>
      <c r="C90" s="83"/>
      <c r="D90" s="83"/>
      <c r="E90" s="83"/>
      <c r="F90" s="83"/>
      <c r="G90" s="27"/>
      <c r="H90" s="83"/>
      <c r="I90" s="83"/>
      <c r="J90" s="29"/>
      <c r="K90" s="18"/>
      <c r="L90" s="18"/>
    </row>
    <row r="91" spans="2:12" ht="18" customHeight="1">
      <c r="B91" s="245" t="s">
        <v>131</v>
      </c>
      <c r="C91" s="246"/>
      <c r="D91" s="246"/>
      <c r="E91" s="246"/>
      <c r="F91" s="246"/>
      <c r="G91" s="246"/>
      <c r="H91" s="246"/>
      <c r="I91" s="246"/>
      <c r="J91" s="247"/>
      <c r="K91" s="18"/>
      <c r="L91" s="26"/>
    </row>
    <row r="92" spans="2:12" ht="18" customHeight="1">
      <c r="B92" s="248" t="s">
        <v>35</v>
      </c>
      <c r="C92" s="249"/>
      <c r="D92" s="249"/>
      <c r="E92" s="249"/>
      <c r="F92" s="249"/>
      <c r="G92" s="249"/>
      <c r="H92" s="249"/>
      <c r="I92" s="249"/>
      <c r="J92" s="250"/>
      <c r="K92" s="18"/>
      <c r="L92" s="26"/>
    </row>
    <row r="93" spans="2:12" s="3" customFormat="1" ht="18" customHeight="1">
      <c r="B93" s="293" t="s">
        <v>82</v>
      </c>
      <c r="C93" s="293"/>
      <c r="D93" s="293"/>
      <c r="E93" s="282" t="s">
        <v>79</v>
      </c>
      <c r="F93" s="283"/>
      <c r="G93" s="283"/>
      <c r="H93" s="283"/>
      <c r="I93" s="283"/>
      <c r="J93" s="284"/>
      <c r="K93" s="18"/>
      <c r="L93" s="26"/>
    </row>
    <row r="94" spans="2:12" s="3" customFormat="1" ht="18" customHeight="1">
      <c r="B94" s="293"/>
      <c r="C94" s="293"/>
      <c r="D94" s="293"/>
      <c r="E94" s="204">
        <f>G94*0.9</f>
        <v>288</v>
      </c>
      <c r="F94" s="205"/>
      <c r="G94" s="213">
        <f>E14</f>
        <v>320</v>
      </c>
      <c r="H94" s="213"/>
      <c r="I94" s="210">
        <f>G94*1.1</f>
        <v>352</v>
      </c>
      <c r="J94" s="210"/>
      <c r="K94" s="18"/>
      <c r="L94" s="26"/>
    </row>
    <row r="95" spans="2:12" s="3" customFormat="1" ht="18" customHeight="1">
      <c r="B95" s="210">
        <f>B96*0.9</f>
        <v>23400</v>
      </c>
      <c r="C95" s="210"/>
      <c r="D95" s="210"/>
      <c r="E95" s="211">
        <f>E$94*$B$95-Hoja1!$C$41</f>
        <v>619393.9100000001</v>
      </c>
      <c r="F95" s="212"/>
      <c r="G95" s="275">
        <f>G$94*$B$95-Hoja1!$C$41</f>
        <v>1368193.9100000001</v>
      </c>
      <c r="H95" s="275"/>
      <c r="I95" s="275">
        <f>I$94*$B$95-Hoja1!$C$41</f>
        <v>2116993.91</v>
      </c>
      <c r="J95" s="275"/>
      <c r="K95" s="18"/>
      <c r="L95" s="26"/>
    </row>
    <row r="96" spans="2:12" s="3" customFormat="1" ht="18" customHeight="1">
      <c r="B96" s="210">
        <f>E13</f>
        <v>26000</v>
      </c>
      <c r="C96" s="210"/>
      <c r="D96" s="210"/>
      <c r="E96" s="211">
        <f>E$94*$B$96-$J$87</f>
        <v>1279622.6550000003</v>
      </c>
      <c r="F96" s="212"/>
      <c r="G96" s="275">
        <f>G$94*$B$96-$J$87</f>
        <v>2111622.6550000003</v>
      </c>
      <c r="H96" s="275"/>
      <c r="I96" s="275">
        <f>I$94*$B$96-$J$87</f>
        <v>2943622.6550000003</v>
      </c>
      <c r="J96" s="275"/>
      <c r="K96" s="18"/>
      <c r="L96" s="26"/>
    </row>
    <row r="97" spans="2:12" s="3" customFormat="1" ht="18" customHeight="1">
      <c r="B97" s="210">
        <f>B96*1.1</f>
        <v>28600.000000000004</v>
      </c>
      <c r="C97" s="210"/>
      <c r="D97" s="210"/>
      <c r="E97" s="211">
        <f>E$94*$B$97-Hoja1!$D$41</f>
        <v>1939298.9000000013</v>
      </c>
      <c r="F97" s="212"/>
      <c r="G97" s="275">
        <f>G$94*$B$97-Hoja1!$D$41</f>
        <v>2854498.9000000022</v>
      </c>
      <c r="H97" s="275"/>
      <c r="I97" s="275">
        <f>I$94*$B$97-Hoja1!$D$41</f>
        <v>3769698.9000000022</v>
      </c>
      <c r="J97" s="275"/>
      <c r="K97" s="18"/>
      <c r="L97" s="26"/>
    </row>
    <row r="98" spans="2:12" s="3" customFormat="1" ht="18" customHeight="1">
      <c r="B98" s="36"/>
      <c r="C98" s="36"/>
      <c r="D98" s="37"/>
      <c r="E98" s="37"/>
      <c r="F98" s="37"/>
      <c r="G98" s="38"/>
      <c r="H98" s="14"/>
      <c r="I98" s="17"/>
      <c r="J98" s="17"/>
      <c r="K98" s="18"/>
      <c r="L98" s="26"/>
    </row>
    <row r="99" spans="2:12" s="3" customFormat="1" ht="18" customHeight="1">
      <c r="B99" s="287" t="s">
        <v>132</v>
      </c>
      <c r="C99" s="288"/>
      <c r="D99" s="288"/>
      <c r="E99" s="288"/>
      <c r="F99" s="288"/>
      <c r="G99" s="288"/>
      <c r="H99" s="288"/>
      <c r="I99" s="288"/>
      <c r="J99" s="289"/>
      <c r="K99" s="18"/>
      <c r="L99" s="26"/>
    </row>
    <row r="100" spans="2:12" s="3" customFormat="1" ht="18" customHeight="1">
      <c r="B100" s="290"/>
      <c r="C100" s="291"/>
      <c r="D100" s="291"/>
      <c r="E100" s="291"/>
      <c r="F100" s="291"/>
      <c r="G100" s="291"/>
      <c r="H100" s="291"/>
      <c r="I100" s="291"/>
      <c r="J100" s="292"/>
      <c r="K100" s="18"/>
      <c r="L100" s="26"/>
    </row>
    <row r="101" spans="2:12" s="3" customFormat="1" ht="18" customHeight="1">
      <c r="B101" s="278" t="s">
        <v>82</v>
      </c>
      <c r="C101" s="279"/>
      <c r="D101" s="279"/>
      <c r="E101" s="279">
        <f>B95</f>
        <v>23400</v>
      </c>
      <c r="F101" s="279"/>
      <c r="G101" s="279">
        <f>E13</f>
        <v>26000</v>
      </c>
      <c r="H101" s="279"/>
      <c r="I101" s="279">
        <f>B97</f>
        <v>28600.000000000004</v>
      </c>
      <c r="J101" s="285"/>
      <c r="K101" s="18"/>
      <c r="L101" s="26"/>
    </row>
    <row r="102" spans="2:12" ht="18" customHeight="1">
      <c r="B102" s="280"/>
      <c r="C102" s="281"/>
      <c r="D102" s="281"/>
      <c r="E102" s="281"/>
      <c r="F102" s="281"/>
      <c r="G102" s="281"/>
      <c r="H102" s="281"/>
      <c r="I102" s="281"/>
      <c r="J102" s="286"/>
      <c r="K102" s="18"/>
      <c r="L102" s="26"/>
    </row>
    <row r="103" spans="2:12" ht="18" customHeight="1">
      <c r="B103" s="260" t="s">
        <v>80</v>
      </c>
      <c r="C103" s="261"/>
      <c r="D103" s="261"/>
      <c r="E103" s="264">
        <f>Hoja1!C41/'Melón calameño mulch-túnel'!E101</f>
        <v>261.5301747863248</v>
      </c>
      <c r="F103" s="264"/>
      <c r="G103" s="265">
        <f>$J$87/G101</f>
        <v>238.78374403846152</v>
      </c>
      <c r="H103" s="265"/>
      <c r="I103" s="264">
        <f>Hoja1!D41/'Melón calameño mulch-túnel'!I101</f>
        <v>220.1923461538461</v>
      </c>
      <c r="J103" s="297"/>
      <c r="K103" s="18"/>
      <c r="L103" s="26"/>
    </row>
    <row r="104" spans="2:12" ht="18" customHeight="1">
      <c r="B104" s="262"/>
      <c r="C104" s="263"/>
      <c r="D104" s="263"/>
      <c r="E104" s="265"/>
      <c r="F104" s="265"/>
      <c r="G104" s="265"/>
      <c r="H104" s="265"/>
      <c r="I104" s="265"/>
      <c r="J104" s="298"/>
      <c r="K104" s="18"/>
      <c r="L104" s="26"/>
    </row>
    <row r="105" spans="2:12" ht="18" customHeight="1">
      <c r="B105" s="46"/>
      <c r="C105" s="1"/>
      <c r="D105" s="3"/>
      <c r="E105" s="3"/>
      <c r="F105" s="95"/>
      <c r="G105" s="95"/>
      <c r="H105" s="95"/>
      <c r="I105" s="17"/>
      <c r="J105" s="17"/>
      <c r="K105" s="18"/>
      <c r="L105" s="26"/>
    </row>
    <row r="106" spans="2:11" s="3" customFormat="1" ht="18" customHeight="1">
      <c r="B106" s="294" t="s">
        <v>112</v>
      </c>
      <c r="C106" s="295"/>
      <c r="D106" s="295"/>
      <c r="E106" s="295"/>
      <c r="F106" s="295"/>
      <c r="G106" s="295"/>
      <c r="H106" s="295"/>
      <c r="I106" s="295"/>
      <c r="J106" s="296"/>
      <c r="K106" s="81"/>
    </row>
    <row r="107" spans="2:14" s="3" customFormat="1" ht="17.25">
      <c r="B107" s="257"/>
      <c r="C107" s="258"/>
      <c r="D107" s="258"/>
      <c r="E107" s="258"/>
      <c r="F107" s="258"/>
      <c r="G107" s="258"/>
      <c r="H107" s="258"/>
      <c r="I107" s="258"/>
      <c r="J107" s="259"/>
      <c r="K107" s="81"/>
      <c r="N107" s="96"/>
    </row>
    <row r="108" spans="2:11" s="3" customFormat="1" ht="18">
      <c r="B108" s="272" t="s">
        <v>127</v>
      </c>
      <c r="C108" s="273"/>
      <c r="D108" s="273"/>
      <c r="E108" s="273"/>
      <c r="F108" s="273"/>
      <c r="G108" s="273"/>
      <c r="H108" s="273"/>
      <c r="I108" s="273"/>
      <c r="J108" s="274"/>
      <c r="K108" s="82"/>
    </row>
    <row r="109" spans="2:11" s="3" customFormat="1" ht="33" customHeight="1">
      <c r="B109" s="257" t="s">
        <v>75</v>
      </c>
      <c r="C109" s="258"/>
      <c r="D109" s="258"/>
      <c r="E109" s="258"/>
      <c r="F109" s="258"/>
      <c r="G109" s="258"/>
      <c r="H109" s="258"/>
      <c r="I109" s="258"/>
      <c r="J109" s="259"/>
      <c r="K109" s="81"/>
    </row>
    <row r="110" spans="2:11" s="3" customFormat="1" ht="18.75" customHeight="1">
      <c r="B110" s="252" t="s">
        <v>76</v>
      </c>
      <c r="C110" s="253"/>
      <c r="D110" s="253"/>
      <c r="E110" s="253"/>
      <c r="F110" s="253"/>
      <c r="G110" s="253"/>
      <c r="H110" s="253"/>
      <c r="I110" s="253"/>
      <c r="J110" s="254"/>
      <c r="K110" s="82"/>
    </row>
    <row r="111" spans="2:11" s="3" customFormat="1" ht="18">
      <c r="B111" s="198" t="s">
        <v>133</v>
      </c>
      <c r="C111" s="199"/>
      <c r="D111" s="199"/>
      <c r="E111" s="199"/>
      <c r="F111" s="199"/>
      <c r="G111" s="199"/>
      <c r="H111" s="199"/>
      <c r="I111" s="199"/>
      <c r="J111" s="200"/>
      <c r="K111" s="82"/>
    </row>
    <row r="112" spans="2:11" s="3" customFormat="1" ht="18.75" customHeight="1">
      <c r="B112" s="252" t="s">
        <v>77</v>
      </c>
      <c r="C112" s="253"/>
      <c r="D112" s="253"/>
      <c r="E112" s="253"/>
      <c r="F112" s="253"/>
      <c r="G112" s="253"/>
      <c r="H112" s="253"/>
      <c r="I112" s="253"/>
      <c r="J112" s="254"/>
      <c r="K112" s="82"/>
    </row>
    <row r="113" spans="2:11" s="3" customFormat="1" ht="18.75" customHeight="1">
      <c r="B113" s="201" t="s">
        <v>78</v>
      </c>
      <c r="C113" s="202"/>
      <c r="D113" s="202"/>
      <c r="E113" s="202"/>
      <c r="F113" s="202"/>
      <c r="G113" s="202"/>
      <c r="H113" s="202"/>
      <c r="I113" s="202"/>
      <c r="J113" s="203"/>
      <c r="K113" s="82"/>
    </row>
    <row r="114" spans="2:11" s="3" customFormat="1" ht="18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35"/>
    </row>
    <row r="115" spans="2:11" s="3" customFormat="1" ht="16.5" customHeight="1">
      <c r="B115" s="41"/>
      <c r="C115" s="41"/>
      <c r="D115" s="41"/>
      <c r="E115" s="41"/>
      <c r="F115" s="41"/>
      <c r="G115" s="42"/>
      <c r="H115" s="41"/>
      <c r="I115" s="41"/>
      <c r="J115" s="41"/>
      <c r="K115" s="10"/>
    </row>
    <row r="116" spans="2:11" s="3" customFormat="1" ht="14.25">
      <c r="B116" s="4"/>
      <c r="C116" s="4"/>
      <c r="D116" s="4"/>
      <c r="E116" s="4"/>
      <c r="F116" s="4"/>
      <c r="G116" s="5"/>
      <c r="H116" s="4"/>
      <c r="I116" s="4"/>
      <c r="J116" s="4"/>
      <c r="K116" s="10"/>
    </row>
    <row r="117" spans="2:11" s="3" customFormat="1" ht="14.25">
      <c r="B117" s="6"/>
      <c r="C117" s="6"/>
      <c r="D117" s="6"/>
      <c r="E117" s="6"/>
      <c r="F117" s="6"/>
      <c r="G117" s="7"/>
      <c r="H117" s="6"/>
      <c r="I117" s="6"/>
      <c r="J117" s="6"/>
      <c r="K117" s="10"/>
    </row>
    <row r="118" spans="2:11" s="3" customFormat="1" ht="14.25">
      <c r="B118" s="6"/>
      <c r="C118" s="6"/>
      <c r="D118" s="6"/>
      <c r="E118" s="6"/>
      <c r="F118" s="6"/>
      <c r="G118" s="7"/>
      <c r="H118" s="6"/>
      <c r="I118" s="6"/>
      <c r="J118" s="6"/>
      <c r="K118" s="10"/>
    </row>
    <row r="119" spans="2:11" s="3" customFormat="1" ht="14.25">
      <c r="B119" s="6"/>
      <c r="C119" s="6"/>
      <c r="D119" s="6"/>
      <c r="E119" s="6"/>
      <c r="F119" s="6"/>
      <c r="G119" s="7"/>
      <c r="H119" s="6"/>
      <c r="I119" s="6"/>
      <c r="J119" s="6"/>
      <c r="K119" s="10"/>
    </row>
    <row r="120" spans="2:12" s="3" customFormat="1" ht="14.25">
      <c r="B120" s="67"/>
      <c r="C120" s="67"/>
      <c r="D120" s="67"/>
      <c r="E120" s="67"/>
      <c r="F120" s="67"/>
      <c r="G120" s="68"/>
      <c r="H120" s="67"/>
      <c r="I120" s="67"/>
      <c r="J120" s="67"/>
      <c r="K120" s="69"/>
      <c r="L120" s="67"/>
    </row>
    <row r="121" spans="2:12" s="3" customFormat="1" ht="14.25">
      <c r="B121" s="67"/>
      <c r="C121" s="67"/>
      <c r="D121" s="67"/>
      <c r="E121" s="67"/>
      <c r="F121" s="67"/>
      <c r="G121" s="68"/>
      <c r="H121" s="67"/>
      <c r="I121" s="67"/>
      <c r="J121" s="67"/>
      <c r="K121" s="69"/>
      <c r="L121" s="67"/>
    </row>
    <row r="122" spans="2:12" s="3" customFormat="1" ht="14.25">
      <c r="B122" s="67"/>
      <c r="C122" s="67"/>
      <c r="D122" s="67"/>
      <c r="E122" s="67"/>
      <c r="F122" s="67"/>
      <c r="G122" s="68"/>
      <c r="H122" s="67"/>
      <c r="I122" s="67"/>
      <c r="J122" s="67"/>
      <c r="K122" s="69"/>
      <c r="L122" s="67"/>
    </row>
    <row r="123" spans="2:12" s="3" customFormat="1" ht="14.25">
      <c r="B123" s="67"/>
      <c r="C123" s="67"/>
      <c r="D123" s="67"/>
      <c r="E123" s="67"/>
      <c r="F123" s="67"/>
      <c r="G123" s="68"/>
      <c r="H123" s="67"/>
      <c r="I123" s="67"/>
      <c r="J123" s="67"/>
      <c r="K123" s="69"/>
      <c r="L123" s="67"/>
    </row>
    <row r="124" spans="2:12" ht="17.25">
      <c r="B124" s="56"/>
      <c r="C124" s="56"/>
      <c r="D124" s="57"/>
      <c r="E124" s="57"/>
      <c r="F124" s="58"/>
      <c r="G124" s="58"/>
      <c r="H124" s="58"/>
      <c r="I124" s="67"/>
      <c r="J124" s="67"/>
      <c r="K124" s="69"/>
      <c r="L124" s="67"/>
    </row>
    <row r="125" spans="2:12" ht="17.25">
      <c r="B125" s="56"/>
      <c r="C125" s="59"/>
      <c r="D125" s="59"/>
      <c r="E125" s="60"/>
      <c r="F125" s="59"/>
      <c r="G125" s="61"/>
      <c r="H125" s="62"/>
      <c r="I125" s="67"/>
      <c r="J125" s="67"/>
      <c r="K125" s="69"/>
      <c r="L125" s="67"/>
    </row>
    <row r="126" spans="2:12" ht="17.25">
      <c r="B126" s="57"/>
      <c r="C126" s="57"/>
      <c r="D126" s="57"/>
      <c r="E126" s="57"/>
      <c r="F126" s="57"/>
      <c r="G126" s="57"/>
      <c r="H126" s="57"/>
      <c r="I126" s="67"/>
      <c r="J126" s="67"/>
      <c r="K126" s="69"/>
      <c r="L126" s="67"/>
    </row>
    <row r="127" spans="2:12" ht="17.25">
      <c r="B127" s="56"/>
      <c r="C127" s="57"/>
      <c r="D127" s="57"/>
      <c r="E127" s="57"/>
      <c r="F127" s="57"/>
      <c r="G127" s="57"/>
      <c r="H127" s="57"/>
      <c r="I127" s="67"/>
      <c r="J127" s="67"/>
      <c r="K127" s="69"/>
      <c r="L127" s="67"/>
    </row>
    <row r="128" spans="2:12" ht="17.25">
      <c r="B128" s="70"/>
      <c r="C128" s="71"/>
      <c r="D128" s="71"/>
      <c r="E128" s="63"/>
      <c r="F128" s="63"/>
      <c r="G128" s="63"/>
      <c r="H128" s="63"/>
      <c r="I128" s="67"/>
      <c r="J128" s="69"/>
      <c r="K128" s="69"/>
      <c r="L128" s="67"/>
    </row>
    <row r="129" spans="2:12" ht="17.25">
      <c r="B129" s="70"/>
      <c r="C129" s="71"/>
      <c r="D129" s="71"/>
      <c r="E129" s="63"/>
      <c r="F129" s="63"/>
      <c r="G129" s="63"/>
      <c r="H129" s="63"/>
      <c r="I129" s="67"/>
      <c r="J129" s="69"/>
      <c r="K129" s="69"/>
      <c r="L129" s="67"/>
    </row>
    <row r="130" spans="2:12" ht="17.25">
      <c r="B130" s="64"/>
      <c r="C130" s="65"/>
      <c r="D130" s="65"/>
      <c r="E130" s="64"/>
      <c r="F130" s="64"/>
      <c r="G130" s="64"/>
      <c r="H130" s="66"/>
      <c r="I130" s="67"/>
      <c r="J130" s="67"/>
      <c r="K130" s="69"/>
      <c r="L130" s="67"/>
    </row>
    <row r="131" spans="2:12" ht="17.25">
      <c r="B131" s="57"/>
      <c r="C131" s="57"/>
      <c r="D131" s="57"/>
      <c r="E131" s="57"/>
      <c r="F131" s="57"/>
      <c r="G131" s="57"/>
      <c r="H131" s="57"/>
      <c r="I131" s="67"/>
      <c r="J131" s="67"/>
      <c r="K131" s="69"/>
      <c r="L131" s="67"/>
    </row>
    <row r="132" spans="2:12" ht="17.25">
      <c r="B132" s="56"/>
      <c r="C132" s="57"/>
      <c r="D132" s="57"/>
      <c r="E132" s="57"/>
      <c r="F132" s="57"/>
      <c r="G132" s="57"/>
      <c r="H132" s="57"/>
      <c r="I132" s="67"/>
      <c r="J132" s="67"/>
      <c r="K132" s="69"/>
      <c r="L132" s="67"/>
    </row>
    <row r="133" spans="2:12" ht="17.25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7.25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7.25">
      <c r="B135" s="251"/>
      <c r="C135" s="251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7.25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7.25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7.25">
      <c r="B138" s="72"/>
      <c r="C138" s="73"/>
      <c r="D138" s="74"/>
      <c r="E138" s="75"/>
      <c r="F138" s="74"/>
      <c r="G138" s="76"/>
      <c r="H138" s="76"/>
      <c r="I138" s="67"/>
      <c r="J138" s="67"/>
      <c r="K138" s="69"/>
      <c r="L138" s="67"/>
    </row>
    <row r="139" spans="2:12" ht="17.25">
      <c r="B139" s="72"/>
      <c r="C139" s="73"/>
      <c r="D139" s="74"/>
      <c r="E139" s="75"/>
      <c r="F139" s="74"/>
      <c r="G139" s="76"/>
      <c r="H139" s="76"/>
      <c r="I139" s="67"/>
      <c r="J139" s="67"/>
      <c r="K139" s="69"/>
      <c r="L139" s="67"/>
    </row>
    <row r="140" spans="2:12" ht="17.25">
      <c r="B140" s="72"/>
      <c r="C140" s="73"/>
      <c r="D140" s="74"/>
      <c r="E140" s="75"/>
      <c r="F140" s="74"/>
      <c r="G140" s="76"/>
      <c r="H140" s="76"/>
      <c r="I140" s="67"/>
      <c r="J140" s="67"/>
      <c r="K140" s="69"/>
      <c r="L140" s="67"/>
    </row>
    <row r="141" spans="2:12" ht="17.25">
      <c r="B141" s="72"/>
      <c r="C141" s="73"/>
      <c r="D141" s="74"/>
      <c r="E141" s="75"/>
      <c r="F141" s="74"/>
      <c r="G141" s="76"/>
      <c r="H141" s="76"/>
      <c r="I141" s="67"/>
      <c r="J141" s="67"/>
      <c r="K141" s="69"/>
      <c r="L141" s="67"/>
    </row>
    <row r="142" spans="2:12" ht="17.25">
      <c r="B142" s="72"/>
      <c r="C142" s="73"/>
      <c r="D142" s="74"/>
      <c r="E142" s="75"/>
      <c r="F142" s="74"/>
      <c r="G142" s="76"/>
      <c r="H142" s="76"/>
      <c r="I142" s="67"/>
      <c r="J142" s="67"/>
      <c r="K142" s="69"/>
      <c r="L142" s="67"/>
    </row>
    <row r="143" spans="2:12" ht="17.25">
      <c r="B143" s="72"/>
      <c r="C143" s="73"/>
      <c r="D143" s="74"/>
      <c r="E143" s="75"/>
      <c r="F143" s="74"/>
      <c r="G143" s="76"/>
      <c r="H143" s="76"/>
      <c r="I143" s="67"/>
      <c r="J143" s="67"/>
      <c r="K143" s="69"/>
      <c r="L143" s="67"/>
    </row>
    <row r="144" spans="2:12" ht="17.25">
      <c r="B144" s="72"/>
      <c r="C144" s="73"/>
      <c r="D144" s="74"/>
      <c r="E144" s="75"/>
      <c r="F144" s="74"/>
      <c r="G144" s="76"/>
      <c r="H144" s="76"/>
      <c r="I144" s="67"/>
      <c r="J144" s="67"/>
      <c r="K144" s="69"/>
      <c r="L144" s="67"/>
    </row>
    <row r="145" spans="2:12" ht="17.25">
      <c r="B145" s="72"/>
      <c r="C145" s="73"/>
      <c r="D145" s="74"/>
      <c r="E145" s="75"/>
      <c r="F145" s="74"/>
      <c r="G145" s="76"/>
      <c r="H145" s="76"/>
      <c r="I145" s="67"/>
      <c r="J145" s="67"/>
      <c r="K145" s="69"/>
      <c r="L145" s="67"/>
    </row>
    <row r="146" spans="2:12" ht="17.25">
      <c r="B146" s="64"/>
      <c r="C146" s="65"/>
      <c r="D146" s="65"/>
      <c r="E146" s="64"/>
      <c r="F146" s="64"/>
      <c r="G146" s="64"/>
      <c r="H146" s="66"/>
      <c r="I146" s="67"/>
      <c r="J146" s="67"/>
      <c r="K146" s="69"/>
      <c r="L146" s="67"/>
    </row>
    <row r="147" spans="2:12" ht="17.25">
      <c r="B147" s="57"/>
      <c r="C147" s="57"/>
      <c r="D147" s="57"/>
      <c r="E147" s="57"/>
      <c r="F147" s="57"/>
      <c r="G147" s="57"/>
      <c r="H147" s="57"/>
      <c r="I147" s="67"/>
      <c r="J147" s="67"/>
      <c r="K147" s="69"/>
      <c r="L147" s="67"/>
    </row>
    <row r="148" spans="2:12" ht="17.25">
      <c r="B148" s="64"/>
      <c r="C148" s="65"/>
      <c r="D148" s="65"/>
      <c r="E148" s="64"/>
      <c r="F148" s="64"/>
      <c r="G148" s="64"/>
      <c r="H148" s="66"/>
      <c r="I148" s="67"/>
      <c r="J148" s="67"/>
      <c r="K148" s="69"/>
      <c r="L148" s="67"/>
    </row>
    <row r="149" spans="2:12" s="3" customFormat="1" ht="14.2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4.2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4.2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4.2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4.2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4.2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4.2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4.2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4.2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4.2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4.25">
      <c r="B159" s="77"/>
      <c r="C159" s="77"/>
      <c r="D159" s="77"/>
      <c r="E159" s="77"/>
      <c r="F159" s="77"/>
      <c r="G159" s="68"/>
      <c r="H159" s="67"/>
      <c r="I159" s="67"/>
      <c r="J159" s="67"/>
      <c r="K159" s="69"/>
      <c r="L159" s="67"/>
    </row>
    <row r="160" spans="2:12" s="3" customFormat="1" ht="14.2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4.2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4.25">
      <c r="B162" s="67"/>
      <c r="C162" s="69"/>
      <c r="D162" s="69"/>
      <c r="E162" s="69"/>
      <c r="F162" s="69"/>
      <c r="G162" s="68"/>
      <c r="H162" s="67"/>
      <c r="I162" s="67"/>
      <c r="J162" s="67"/>
      <c r="K162" s="69"/>
      <c r="L162" s="67"/>
    </row>
    <row r="163" spans="2:12" s="3" customFormat="1" ht="14.2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4.2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4.2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4.2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4.2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4.25">
      <c r="B168" s="67"/>
      <c r="C168" s="67"/>
      <c r="D168" s="69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4.25">
      <c r="B169" s="67"/>
      <c r="C169" s="69"/>
      <c r="D169" s="69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4.2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4.2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4.2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4.25">
      <c r="B173" s="67"/>
      <c r="C173" s="67"/>
      <c r="D173" s="67"/>
      <c r="E173" s="67"/>
      <c r="F173" s="67"/>
      <c r="G173" s="68"/>
      <c r="H173" s="67"/>
      <c r="I173" s="68"/>
      <c r="J173" s="67"/>
      <c r="K173" s="69"/>
      <c r="L173" s="67"/>
    </row>
    <row r="174" spans="2:12" s="3" customFormat="1" ht="14.2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4.2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4.2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4.2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4.2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4.2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4.2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4.2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4.25">
      <c r="B182" s="69"/>
      <c r="C182" s="69"/>
      <c r="D182" s="69"/>
      <c r="E182" s="69"/>
      <c r="F182" s="69"/>
      <c r="G182" s="69"/>
      <c r="H182" s="69"/>
      <c r="I182" s="69"/>
      <c r="J182" s="67"/>
      <c r="K182" s="69"/>
      <c r="L182" s="67"/>
    </row>
    <row r="183" spans="2:12" s="3" customFormat="1" ht="14.25">
      <c r="B183" s="69"/>
      <c r="C183" s="69"/>
      <c r="D183" s="69"/>
      <c r="E183" s="69"/>
      <c r="F183" s="69"/>
      <c r="G183" s="78"/>
      <c r="H183" s="69"/>
      <c r="I183" s="69"/>
      <c r="J183" s="67"/>
      <c r="K183" s="69"/>
      <c r="L183" s="78"/>
    </row>
    <row r="184" spans="2:12" s="3" customFormat="1" ht="14.25">
      <c r="B184" s="69"/>
      <c r="C184" s="69"/>
      <c r="D184" s="69"/>
      <c r="E184" s="69"/>
      <c r="F184" s="69"/>
      <c r="G184" s="69"/>
      <c r="H184" s="69"/>
      <c r="I184" s="79"/>
      <c r="J184" s="67"/>
      <c r="K184" s="69"/>
      <c r="L184" s="67"/>
    </row>
    <row r="185" spans="2:12" s="3" customFormat="1" ht="14.2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4.2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4.2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4.2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4.2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4.2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4.25">
      <c r="B191" s="67"/>
      <c r="C191" s="67"/>
      <c r="D191" s="67"/>
      <c r="E191" s="67"/>
      <c r="F191" s="67"/>
      <c r="G191" s="68"/>
      <c r="H191" s="69"/>
      <c r="I191" s="69"/>
      <c r="J191" s="67"/>
      <c r="K191" s="69"/>
      <c r="L191" s="67"/>
    </row>
    <row r="192" spans="2:12" s="3" customFormat="1" ht="14.25">
      <c r="B192" s="67"/>
      <c r="C192" s="67"/>
      <c r="D192" s="67"/>
      <c r="E192" s="67"/>
      <c r="F192" s="67"/>
      <c r="G192" s="68"/>
      <c r="H192" s="69"/>
      <c r="I192" s="69"/>
      <c r="J192" s="67"/>
      <c r="K192" s="69"/>
      <c r="L192" s="67"/>
    </row>
    <row r="193" spans="2:12" s="3" customFormat="1" ht="14.25">
      <c r="B193" s="67"/>
      <c r="C193" s="67"/>
      <c r="D193" s="67"/>
      <c r="E193" s="67"/>
      <c r="F193" s="67"/>
      <c r="G193" s="68"/>
      <c r="H193" s="69"/>
      <c r="I193" s="69"/>
      <c r="J193" s="67"/>
      <c r="K193" s="69"/>
      <c r="L193" s="67"/>
    </row>
    <row r="194" spans="2:12" s="3" customFormat="1" ht="14.2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4.2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4.2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4.2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4.2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4.2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4.25">
      <c r="B200" s="67"/>
      <c r="C200" s="67"/>
      <c r="D200" s="67"/>
      <c r="E200" s="67"/>
      <c r="F200" s="67"/>
      <c r="G200" s="68"/>
      <c r="H200" s="69"/>
      <c r="I200" s="69"/>
      <c r="J200" s="67"/>
      <c r="K200" s="69"/>
      <c r="L200" s="67"/>
    </row>
    <row r="201" spans="2:12" s="3" customFormat="1" ht="14.25">
      <c r="B201" s="67"/>
      <c r="C201" s="67"/>
      <c r="D201" s="67"/>
      <c r="E201" s="67"/>
      <c r="F201" s="67"/>
      <c r="G201" s="68"/>
      <c r="H201" s="69"/>
      <c r="I201" s="69"/>
      <c r="J201" s="67"/>
      <c r="K201" s="69"/>
      <c r="L201" s="67"/>
    </row>
    <row r="202" spans="2:12" s="3" customFormat="1" ht="14.25">
      <c r="B202" s="67"/>
      <c r="C202" s="67"/>
      <c r="D202" s="67"/>
      <c r="E202" s="67"/>
      <c r="F202" s="67"/>
      <c r="G202" s="68"/>
      <c r="H202" s="69"/>
      <c r="I202" s="69"/>
      <c r="J202" s="67"/>
      <c r="K202" s="69"/>
      <c r="L202" s="67"/>
    </row>
    <row r="203" spans="2:12" s="3" customFormat="1" ht="14.2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4.2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4.2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4.2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4.2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4.2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4.2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4.2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4.2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4.2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4.2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4.2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4.2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4.2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4.2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4.2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4.2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4.2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4.2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4.2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4.2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4.2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4.2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4.2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4.2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4.2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4.2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4.2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4.2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4.2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4.2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4.2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4.2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4.2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4.2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4.2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4.2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4.2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4.2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4.2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4.2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4.2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4.2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4.2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4.2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4.2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4.2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4.2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4.2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4.2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4.2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4.2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4.2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4.2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4.2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4.2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4.2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4.2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4.2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4.2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4.2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4.2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4.2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4.2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4.2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4.2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4.2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4.2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4.2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4.2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4.2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4.2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4.2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4.2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4.2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4.2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4.2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4.2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4.2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4.2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4.2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4.2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4.2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4.2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4.2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4.2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4.2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4.2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4.2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4.2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4.2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4.2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4.2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4.2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4.2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4.2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4.2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4.2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4.2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4.2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4.2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4.2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4.2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4.2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4.2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4.2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4.2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s="3" customFormat="1" ht="14.2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s="3" customFormat="1" ht="14.2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s="3" customFormat="1" ht="14.2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4.2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4.2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4.2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4.2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4.2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4.2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4.2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4.2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4.2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4.2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ht="14.2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ht="14.2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  <row r="325" spans="2:12" ht="14.25">
      <c r="B325" s="67"/>
      <c r="C325" s="67"/>
      <c r="D325" s="67"/>
      <c r="E325" s="67"/>
      <c r="F325" s="67"/>
      <c r="G325" s="68"/>
      <c r="H325" s="67"/>
      <c r="I325" s="67"/>
      <c r="J325" s="67"/>
      <c r="K325" s="69"/>
      <c r="L325" s="67"/>
    </row>
    <row r="326" spans="2:12" ht="14.25">
      <c r="B326" s="67"/>
      <c r="C326" s="67"/>
      <c r="D326" s="67"/>
      <c r="E326" s="67"/>
      <c r="F326" s="67"/>
      <c r="G326" s="68"/>
      <c r="H326" s="67"/>
      <c r="I326" s="67"/>
      <c r="J326" s="67"/>
      <c r="K326" s="69"/>
      <c r="L326" s="67"/>
    </row>
    <row r="327" spans="2:12" ht="14.25">
      <c r="B327" s="67"/>
      <c r="C327" s="67"/>
      <c r="D327" s="67"/>
      <c r="E327" s="67"/>
      <c r="F327" s="67"/>
      <c r="G327" s="68"/>
      <c r="H327" s="67"/>
      <c r="I327" s="67"/>
      <c r="J327" s="67"/>
      <c r="K327" s="69"/>
      <c r="L327" s="67"/>
    </row>
  </sheetData>
  <sheetProtection/>
  <mergeCells count="127">
    <mergeCell ref="B106:J107"/>
    <mergeCell ref="E69:F69"/>
    <mergeCell ref="E70:F70"/>
    <mergeCell ref="G103:H104"/>
    <mergeCell ref="I103:J104"/>
    <mergeCell ref="I97:J97"/>
    <mergeCell ref="B93:D94"/>
    <mergeCell ref="E96:F96"/>
    <mergeCell ref="E41:F41"/>
    <mergeCell ref="E68:F68"/>
    <mergeCell ref="E49:F49"/>
    <mergeCell ref="E48:F48"/>
    <mergeCell ref="E50:F50"/>
    <mergeCell ref="E53:F53"/>
    <mergeCell ref="G97:H97"/>
    <mergeCell ref="I95:J95"/>
    <mergeCell ref="E84:F84"/>
    <mergeCell ref="B101:D102"/>
    <mergeCell ref="E93:J93"/>
    <mergeCell ref="E101:F102"/>
    <mergeCell ref="G101:H102"/>
    <mergeCell ref="I101:J102"/>
    <mergeCell ref="B99:J100"/>
    <mergeCell ref="I96:J96"/>
    <mergeCell ref="B112:J112"/>
    <mergeCell ref="B109:J109"/>
    <mergeCell ref="B103:D104"/>
    <mergeCell ref="E103:F104"/>
    <mergeCell ref="B87:I88"/>
    <mergeCell ref="J87:J88"/>
    <mergeCell ref="B108:J108"/>
    <mergeCell ref="E97:F97"/>
    <mergeCell ref="G95:H95"/>
    <mergeCell ref="G96:H96"/>
    <mergeCell ref="B37:D37"/>
    <mergeCell ref="B40:D40"/>
    <mergeCell ref="E35:F35"/>
    <mergeCell ref="E40:F40"/>
    <mergeCell ref="E81:F81"/>
    <mergeCell ref="E82:F82"/>
    <mergeCell ref="B73:I73"/>
    <mergeCell ref="B135:C135"/>
    <mergeCell ref="B81:D81"/>
    <mergeCell ref="B84:D84"/>
    <mergeCell ref="B31:D31"/>
    <mergeCell ref="B30:D30"/>
    <mergeCell ref="B45:D45"/>
    <mergeCell ref="B110:J110"/>
    <mergeCell ref="B42:D42"/>
    <mergeCell ref="E42:F42"/>
    <mergeCell ref="B43:I43"/>
    <mergeCell ref="B82:D82"/>
    <mergeCell ref="B85:I85"/>
    <mergeCell ref="B96:D96"/>
    <mergeCell ref="B91:J91"/>
    <mergeCell ref="B92:J92"/>
    <mergeCell ref="B95:D95"/>
    <mergeCell ref="D6:J6"/>
    <mergeCell ref="B14:D14"/>
    <mergeCell ref="D3:H3"/>
    <mergeCell ref="B21:D21"/>
    <mergeCell ref="B29:D29"/>
    <mergeCell ref="L81:O81"/>
    <mergeCell ref="B80:D80"/>
    <mergeCell ref="E80:F80"/>
    <mergeCell ref="B75:I75"/>
    <mergeCell ref="E55:F55"/>
    <mergeCell ref="E37:F37"/>
    <mergeCell ref="B36:D36"/>
    <mergeCell ref="E36:F36"/>
    <mergeCell ref="B2:J2"/>
    <mergeCell ref="B12:E12"/>
    <mergeCell ref="G12:J12"/>
    <mergeCell ref="D4:H4"/>
    <mergeCell ref="E25:F25"/>
    <mergeCell ref="E22:F22"/>
    <mergeCell ref="E20:F20"/>
    <mergeCell ref="E71:F71"/>
    <mergeCell ref="E66:F66"/>
    <mergeCell ref="E65:F65"/>
    <mergeCell ref="E64:F64"/>
    <mergeCell ref="E72:F72"/>
    <mergeCell ref="B32:D32"/>
    <mergeCell ref="B38:D38"/>
    <mergeCell ref="E32:F32"/>
    <mergeCell ref="B35:D35"/>
    <mergeCell ref="E38:F38"/>
    <mergeCell ref="B22:D22"/>
    <mergeCell ref="B23:D23"/>
    <mergeCell ref="B24:D24"/>
    <mergeCell ref="B25:D25"/>
    <mergeCell ref="B26:D26"/>
    <mergeCell ref="B33:I33"/>
    <mergeCell ref="E29:F29"/>
    <mergeCell ref="E24:F24"/>
    <mergeCell ref="E23:F23"/>
    <mergeCell ref="B27:D27"/>
    <mergeCell ref="B111:J111"/>
    <mergeCell ref="B113:J113"/>
    <mergeCell ref="E94:F94"/>
    <mergeCell ref="E83:F83"/>
    <mergeCell ref="E77:F77"/>
    <mergeCell ref="B97:D97"/>
    <mergeCell ref="I94:J94"/>
    <mergeCell ref="E95:F95"/>
    <mergeCell ref="G94:H94"/>
    <mergeCell ref="B83:D83"/>
    <mergeCell ref="E63:F63"/>
    <mergeCell ref="E61:F61"/>
    <mergeCell ref="E67:F67"/>
    <mergeCell ref="E62:F62"/>
    <mergeCell ref="E57:F57"/>
    <mergeCell ref="E31:F31"/>
    <mergeCell ref="E60:F60"/>
    <mergeCell ref="E59:F59"/>
    <mergeCell ref="E58:F58"/>
    <mergeCell ref="E56:F56"/>
    <mergeCell ref="E21:F21"/>
    <mergeCell ref="E54:F54"/>
    <mergeCell ref="E51:F51"/>
    <mergeCell ref="E46:F46"/>
    <mergeCell ref="E45:F45"/>
    <mergeCell ref="E39:F39"/>
    <mergeCell ref="E27:F27"/>
    <mergeCell ref="E28:F28"/>
    <mergeCell ref="E26:F26"/>
    <mergeCell ref="E30:F3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2" r:id="rId2"/>
  <rowBreaks count="1" manualBreakCount="1">
    <brk id="7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1">
      <selection activeCell="C23" sqref="C23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7" t="s">
        <v>33</v>
      </c>
      <c r="C2" s="50">
        <f>(('Melón calameño mulch-túnel'!E13-26000)/26000)+1</f>
        <v>1</v>
      </c>
    </row>
    <row r="3" ht="17.25">
      <c r="B3" s="15"/>
    </row>
    <row r="4" spans="2:3" ht="17.25">
      <c r="B4" s="299" t="s">
        <v>34</v>
      </c>
      <c r="C4" s="299"/>
    </row>
    <row r="5" spans="2:4" ht="17.25">
      <c r="B5" s="170" t="s">
        <v>42</v>
      </c>
      <c r="C5" s="120"/>
      <c r="D5" s="125">
        <f>26000/400</f>
        <v>65</v>
      </c>
    </row>
    <row r="6" spans="2:4" ht="17.25">
      <c r="B6" s="179" t="s">
        <v>96</v>
      </c>
      <c r="C6" s="180"/>
      <c r="D6" s="181">
        <f>26000/400</f>
        <v>65</v>
      </c>
    </row>
    <row r="7" spans="2:4" ht="14.25">
      <c r="B7" s="28"/>
      <c r="C7" s="28"/>
      <c r="D7" s="28"/>
    </row>
    <row r="15" spans="2:4" ht="14.25">
      <c r="B15" s="300" t="s">
        <v>29</v>
      </c>
      <c r="C15" s="300"/>
      <c r="D15" s="300"/>
    </row>
    <row r="17" spans="2:4" ht="17.25">
      <c r="B17" s="49" t="s">
        <v>32</v>
      </c>
      <c r="C17" s="48">
        <f>'Melón calameño mulch-túnel'!B95</f>
        <v>23400</v>
      </c>
      <c r="D17" s="48">
        <f>'Melón calameño mulch-túnel'!B97</f>
        <v>28600.000000000004</v>
      </c>
    </row>
    <row r="18" ht="14.25">
      <c r="B18" s="26"/>
    </row>
    <row r="19" spans="2:4" ht="14.25">
      <c r="B19" s="47" t="s">
        <v>33</v>
      </c>
      <c r="C19" s="50">
        <f>((C17-'Melón calameño mulch-túnel'!E13)/'Melón calameño mulch-túnel'!E13)+1</f>
        <v>0.9</v>
      </c>
      <c r="D19" s="50">
        <f>((D17-'Melón calameño mulch-túnel'!E13)/'Melón calameño mulch-túnel'!E13)+1</f>
        <v>1.1</v>
      </c>
    </row>
    <row r="20" spans="2:4" ht="17.25">
      <c r="B20" s="19"/>
      <c r="C20" s="48"/>
      <c r="D20" s="48"/>
    </row>
    <row r="21" spans="2:4" ht="17.25">
      <c r="B21" s="49" t="s">
        <v>19</v>
      </c>
      <c r="C21" s="48"/>
      <c r="D21" s="48"/>
    </row>
    <row r="22" spans="2:4" ht="17.25">
      <c r="B22" s="19" t="s">
        <v>36</v>
      </c>
      <c r="C22" s="10">
        <f>SUM('Melón calameño mulch-túnel'!J22:J31)</f>
        <v>845000</v>
      </c>
      <c r="D22" s="10">
        <f>SUM('Melón calameño mulch-túnel'!J22:J31)</f>
        <v>845000</v>
      </c>
    </row>
    <row r="23" spans="2:4" ht="17.25">
      <c r="B23" s="51" t="s">
        <v>37</v>
      </c>
      <c r="C23" s="52">
        <f>C19*SUM('Melón calameño mulch-túnel'!J32)</f>
        <v>409500</v>
      </c>
      <c r="D23" s="52">
        <f>D19*SUM('Melón calameño mulch-túnel'!J32)</f>
        <v>500500.00000000006</v>
      </c>
    </row>
    <row r="24" spans="2:4" ht="17.25">
      <c r="B24" s="19" t="s">
        <v>38</v>
      </c>
      <c r="C24" s="10">
        <f>SUM(C22:C23)</f>
        <v>1254500</v>
      </c>
      <c r="D24" s="10">
        <f>SUM(D22:D23)</f>
        <v>1345500</v>
      </c>
    </row>
    <row r="25" ht="17.25">
      <c r="B25" s="19"/>
    </row>
    <row r="26" ht="17.25">
      <c r="B26" s="49" t="s">
        <v>21</v>
      </c>
    </row>
    <row r="27" spans="2:4" ht="17.25">
      <c r="B27" s="19" t="s">
        <v>36</v>
      </c>
      <c r="C27" s="10">
        <f>SUM('Melón calameño mulch-túnel'!J36:J41)</f>
        <v>330000</v>
      </c>
      <c r="D27" s="10">
        <f>SUM('Melón calameño mulch-túnel'!J36:J41)</f>
        <v>330000</v>
      </c>
    </row>
    <row r="28" spans="2:4" ht="17.25">
      <c r="B28" s="51" t="s">
        <v>37</v>
      </c>
      <c r="C28" s="52">
        <f>C19*SUM('Melón calameño mulch-túnel'!J42)</f>
        <v>87750</v>
      </c>
      <c r="D28" s="52">
        <f>D19*SUM('Melón calameño mulch-túnel'!J42)</f>
        <v>107250.00000000001</v>
      </c>
    </row>
    <row r="29" spans="2:4" ht="17.25">
      <c r="B29" s="19" t="s">
        <v>38</v>
      </c>
      <c r="C29" s="10">
        <f>SUM(C27:C28)</f>
        <v>417750</v>
      </c>
      <c r="D29" s="10">
        <f>SUM(D27:D28)</f>
        <v>437250</v>
      </c>
    </row>
    <row r="31" ht="17.25">
      <c r="B31" s="49" t="s">
        <v>39</v>
      </c>
    </row>
    <row r="32" spans="2:4" ht="17.25">
      <c r="B32" s="19" t="s">
        <v>36</v>
      </c>
      <c r="C32" s="10">
        <f>SUM('Melón calameño mulch-túnel'!J46:J72)</f>
        <v>3942251</v>
      </c>
      <c r="D32" s="10">
        <f>SUM('Melón calameño mulch-túnel'!J46:J72)</f>
        <v>3942251</v>
      </c>
    </row>
    <row r="33" spans="2:4" ht="17.25">
      <c r="B33" s="51" t="s">
        <v>37</v>
      </c>
      <c r="C33" s="52">
        <v>0</v>
      </c>
      <c r="D33" s="52">
        <v>0</v>
      </c>
    </row>
    <row r="34" spans="2:4" ht="17.25">
      <c r="B34" s="19" t="s">
        <v>38</v>
      </c>
      <c r="C34" s="10">
        <f>SUM(C32:C33)</f>
        <v>3942251</v>
      </c>
      <c r="D34" s="10">
        <f>SUM(D32:D33)</f>
        <v>3942251</v>
      </c>
    </row>
    <row r="35" spans="2:4" ht="14.25">
      <c r="B35" s="26"/>
      <c r="C35" s="30"/>
      <c r="D35" s="30"/>
    </row>
    <row r="36" spans="2:4" ht="17.25">
      <c r="B36" s="54" t="s">
        <v>40</v>
      </c>
      <c r="C36" s="55">
        <f>C24+C29+C34</f>
        <v>5614501</v>
      </c>
      <c r="D36" s="55">
        <f>D24+D29+D34</f>
        <v>5725001</v>
      </c>
    </row>
    <row r="37" ht="14.25">
      <c r="B37" s="26"/>
    </row>
    <row r="38" spans="2:4" ht="17.25">
      <c r="B38" s="53" t="s">
        <v>0</v>
      </c>
      <c r="C38" s="10">
        <f>C36*C19*'Melón calameño mulch-túnel'!G77</f>
        <v>252652.54500000004</v>
      </c>
      <c r="D38" s="10">
        <f>D36*D19*'Melón calameño mulch-túnel'!G77</f>
        <v>314875.05500000005</v>
      </c>
    </row>
    <row r="39" spans="2:4" ht="17.25">
      <c r="B39" s="53" t="s">
        <v>25</v>
      </c>
      <c r="C39" s="10">
        <f>C36*'Melón calameño mulch-túnel'!E16*'Melón calameño mulch-túnel'!E17*0.5</f>
        <v>252652.54499999998</v>
      </c>
      <c r="D39" s="10">
        <f>D36*'Melón calameño mulch-túnel'!E16*'Melón calameño mulch-túnel'!E17*0.5</f>
        <v>257625.04499999998</v>
      </c>
    </row>
    <row r="40" ht="14.25">
      <c r="B40" s="26"/>
    </row>
    <row r="41" spans="2:4" ht="17.25">
      <c r="B41" s="54" t="s">
        <v>28</v>
      </c>
      <c r="C41" s="55">
        <f>C36+C38+C39</f>
        <v>6119806.09</v>
      </c>
      <c r="D41" s="55">
        <f>D36+D38+D39</f>
        <v>6297501.1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2015-06-09T14:27:44Z</cp:lastPrinted>
  <dcterms:created xsi:type="dcterms:W3CDTF">2012-07-09T18:51:50Z</dcterms:created>
  <dcterms:modified xsi:type="dcterms:W3CDTF">2017-10-10T20:37:48Z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8612d0f6-3343-48f0-bea7-63a79c66499e</vt:lpwstr>
  </property>
</Properties>
</file>