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0" yWindow="930" windowWidth="12855" windowHeight="6630" activeTab="0"/>
  </bookViews>
  <sheets>
    <sheet name="Ficha" sheetId="1" r:id="rId1"/>
    <sheet name="Hoja1" sheetId="2" r:id="rId2"/>
  </sheets>
  <definedNames>
    <definedName name="_xlnm.Print_Area" localSheetId="0">'Ficha'!$A$1:$K$108</definedName>
  </definedNames>
  <calcPr fullCalcOnLoad="1"/>
</workbook>
</file>

<file path=xl/sharedStrings.xml><?xml version="1.0" encoding="utf-8"?>
<sst xmlns="http://schemas.openxmlformats.org/spreadsheetml/2006/main" count="194" uniqueCount="138">
  <si>
    <t>Imprevistos</t>
  </si>
  <si>
    <t>Porcentaje</t>
  </si>
  <si>
    <t>Observación</t>
  </si>
  <si>
    <t>Porcentaje sobre el total de los costos directos</t>
  </si>
  <si>
    <t xml:space="preserve">Administración </t>
  </si>
  <si>
    <t>Valores equivalentes a una hectárea, no sobre la totalidad del predio</t>
  </si>
  <si>
    <t>Valor ($)</t>
  </si>
  <si>
    <t>Tasa de interés de las casas de distribución de insumos</t>
  </si>
  <si>
    <t>Rendimiento (Kg/ha):</t>
  </si>
  <si>
    <t>Tasa interés mensual (%):</t>
  </si>
  <si>
    <t>Meses de financiamiento:</t>
  </si>
  <si>
    <t>JH</t>
  </si>
  <si>
    <t>Kg</t>
  </si>
  <si>
    <t>Ingreso por hectárea (e)</t>
  </si>
  <si>
    <t>Rendimiento (Kg/ha)</t>
  </si>
  <si>
    <t>Endeudamiento sobre costos directos (%):</t>
  </si>
  <si>
    <t>Ficha técnico-económica</t>
  </si>
  <si>
    <t>Costo jornada hombre ($/JH)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</si>
  <si>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</si>
  <si>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</si>
  <si>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</si>
  <si>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</si>
  <si>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</si>
  <si>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Época</t>
  </si>
  <si>
    <t>Cantidad</t>
  </si>
  <si>
    <t>Unidad</t>
  </si>
  <si>
    <t>Precio($/un)</t>
  </si>
  <si>
    <t>Mano de obra (a)</t>
  </si>
  <si>
    <t>Total mano de obra</t>
  </si>
  <si>
    <t>Maquinaria (b)</t>
  </si>
  <si>
    <t>Total maquinaria</t>
  </si>
  <si>
    <t>Insumos (2) (c )</t>
  </si>
  <si>
    <t>Labor/insumo</t>
  </si>
  <si>
    <t>Total insumos</t>
  </si>
  <si>
    <t>Total costos directos (a+b+c)</t>
  </si>
  <si>
    <t>Otros costos (d)</t>
  </si>
  <si>
    <t>Costo financiero</t>
  </si>
  <si>
    <t>Costo oportunidad (arriendo)</t>
  </si>
  <si>
    <t>Impuestos y contribuciones</t>
  </si>
  <si>
    <t>Total otros costos</t>
  </si>
  <si>
    <t>Total costos</t>
  </si>
  <si>
    <t>Análisis de sensibilidad</t>
  </si>
  <si>
    <t>Notas:</t>
  </si>
  <si>
    <t>Precio de venta mercado interno ($/Kg): (1)</t>
  </si>
  <si>
    <t>Aplicación fertilizantes</t>
  </si>
  <si>
    <t xml:space="preserve"> (2) El programa fitosanitario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 </t>
  </si>
  <si>
    <t>Parámetros generales:</t>
  </si>
  <si>
    <t>ha</t>
  </si>
  <si>
    <t xml:space="preserve">Riegos </t>
  </si>
  <si>
    <t>Aplicación agroquímicos</t>
  </si>
  <si>
    <t>Cosecha</t>
  </si>
  <si>
    <t>Precio ($/Kg)</t>
  </si>
  <si>
    <t xml:space="preserve">Rastraje </t>
  </si>
  <si>
    <t>Aplicaciones de pesticidas</t>
  </si>
  <si>
    <t xml:space="preserve"> (4) Margen neto corresponde a ingresos totales (precio venta x rendimiento) menos los costos totales.</t>
  </si>
  <si>
    <t xml:space="preserve"> (5) Representa el precio de venta mínimo para cubrir los costos totales de producción.</t>
  </si>
  <si>
    <t>1 ha Noviembre 2012</t>
  </si>
  <si>
    <t>Poda</t>
  </si>
  <si>
    <t>Un</t>
  </si>
  <si>
    <t>Poda en verde</t>
  </si>
  <si>
    <t>Julio</t>
  </si>
  <si>
    <t>L</t>
  </si>
  <si>
    <t>Tecnología: media.</t>
  </si>
  <si>
    <t>Tipo de producción: consumo para deshidratado.</t>
  </si>
  <si>
    <t>Ciruela  para secado</t>
  </si>
  <si>
    <t>Hacer canchas</t>
  </si>
  <si>
    <t>Manejo secado</t>
  </si>
  <si>
    <t>Marzo</t>
  </si>
  <si>
    <t>Envasado en cajas</t>
  </si>
  <si>
    <t>Abril</t>
  </si>
  <si>
    <t>Limpiar terreno y guardar infraestructura secado</t>
  </si>
  <si>
    <t xml:space="preserve">Abril </t>
  </si>
  <si>
    <t>Cosecha: Llevar cajas a cancha secado.</t>
  </si>
  <si>
    <t>Translado a la bódega</t>
  </si>
  <si>
    <t>Febrero</t>
  </si>
  <si>
    <t>Vibradora para la caída de la fruta</t>
  </si>
  <si>
    <t>Mejorar calibre y sanidad de la planta:</t>
  </si>
  <si>
    <t>Rendimiento (kg/ha) deshidratada</t>
  </si>
  <si>
    <t>Variedad: D'agen</t>
  </si>
  <si>
    <t>Región  O'Higgins</t>
  </si>
  <si>
    <t>Destino Mercado: nacional</t>
  </si>
  <si>
    <t>Fecha Plantación: en producción</t>
  </si>
  <si>
    <t>Fecha cosecha: febrero</t>
  </si>
  <si>
    <t>Régimen hídrico: riego por surco.</t>
  </si>
  <si>
    <t>Septiembre-marzo</t>
  </si>
  <si>
    <t>Abril-diciembre</t>
  </si>
  <si>
    <t>Junio-marzo</t>
  </si>
  <si>
    <t>Junio-julio</t>
  </si>
  <si>
    <t>Enero-febrero</t>
  </si>
  <si>
    <t>Triturar despunte (poda)</t>
  </si>
  <si>
    <t>Junio-agosto</t>
  </si>
  <si>
    <t>Febrero-marzo</t>
  </si>
  <si>
    <t>Marzo-diciembre</t>
  </si>
  <si>
    <t>Mayo-junio</t>
  </si>
  <si>
    <t>Abril-junio</t>
  </si>
  <si>
    <t>Octubre-diciembre</t>
  </si>
  <si>
    <t xml:space="preserve">Septiembre-diciembre </t>
  </si>
  <si>
    <t>Octubre-febrero</t>
  </si>
  <si>
    <t>Octubre-noviembre</t>
  </si>
  <si>
    <t>Septiembre-octubre</t>
  </si>
  <si>
    <t>Ponderador CV</t>
  </si>
  <si>
    <t>Costos variables (CV)</t>
  </si>
  <si>
    <t>Rendimiento</t>
  </si>
  <si>
    <t xml:space="preserve">  Costos directos</t>
  </si>
  <si>
    <t xml:space="preserve">  Costos variables</t>
  </si>
  <si>
    <t>Total</t>
  </si>
  <si>
    <t>Insumos ©</t>
  </si>
  <si>
    <t>Total a+b+c</t>
  </si>
  <si>
    <t>Traslado de persona en cosecha</t>
  </si>
  <si>
    <t>Cosecha:llevar cajas cancha secado</t>
  </si>
  <si>
    <t>Fertilizantes(3):</t>
  </si>
  <si>
    <t xml:space="preserve">  Urea</t>
  </si>
  <si>
    <t xml:space="preserve">  Superfosfato  triple</t>
  </si>
  <si>
    <t>Fungicidas:</t>
  </si>
  <si>
    <t xml:space="preserve">  Oxicloruro de cobre</t>
  </si>
  <si>
    <t xml:space="preserve">  Bravo 720</t>
  </si>
  <si>
    <t xml:space="preserve">  Azufre floable AN 600</t>
  </si>
  <si>
    <t xml:space="preserve">  Podexal</t>
  </si>
  <si>
    <t>Herbicidas:</t>
  </si>
  <si>
    <t xml:space="preserve">  Roundup</t>
  </si>
  <si>
    <t>Insecticidas:</t>
  </si>
  <si>
    <t xml:space="preserve">  Lorsban 4E</t>
  </si>
  <si>
    <t xml:space="preserve">  Karate Zeon</t>
  </si>
  <si>
    <t xml:space="preserve">  Citogrower</t>
  </si>
  <si>
    <t xml:space="preserve">  Frutaliv</t>
  </si>
  <si>
    <t xml:space="preserve">  Fosfimax 40 20</t>
  </si>
  <si>
    <t>Otros:</t>
  </si>
  <si>
    <t xml:space="preserve">  Capachos y otros</t>
  </si>
  <si>
    <t xml:space="preserve">  Analisis foliar</t>
  </si>
  <si>
    <t>Noviembre-enero</t>
  </si>
  <si>
    <t xml:space="preserve">  Malla rachel (duración 5 años)</t>
  </si>
  <si>
    <t>m²</t>
  </si>
  <si>
    <t>Margen neto ($/ha) (4)</t>
  </si>
  <si>
    <t>Punto de equilibrio (5)</t>
  </si>
  <si>
    <t xml:space="preserve"> (3) Las dosis de fertilización promedio podrían variar de acuerdo a los resultados de los distintos análisis( foliar, suelo, etc.)</t>
  </si>
  <si>
    <t xml:space="preserve">  Carpas (duración 3 años)</t>
  </si>
  <si>
    <t xml:space="preserve"> (1) El precio del  kilo de ciruela deshidratado utilizado en el análisis de sensibilidad, corresponde al promedio de la región durante el periodo de cosecha en la temporada 2011/12 . Conversión de tres kilos de ciruela fresca, en promedio se obtiene un kilo deshidratada.</t>
  </si>
  <si>
    <t>Densidad (plantas/ha): 400</t>
  </si>
</sst>
</file>

<file path=xl/styles.xml><?xml version="1.0" encoding="utf-8"?>
<styleSheet xmlns="http://schemas.openxmlformats.org/spreadsheetml/2006/main">
  <numFmts count="2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General_)"/>
    <numFmt numFmtId="173" formatCode="0.0"/>
    <numFmt numFmtId="174" formatCode="&quot;$&quot;\ #,##0"/>
    <numFmt numFmtId="175" formatCode="#,##0_ ;\-#,##0\ "/>
    <numFmt numFmtId="176" formatCode="[$$-340A]\ #,##0"/>
    <numFmt numFmtId="177" formatCode="\5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4"/>
      <color indexed="8"/>
      <name val="Arial"/>
      <family val="2"/>
    </font>
    <font>
      <sz val="14"/>
      <color indexed="8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Arial"/>
      <family val="2"/>
    </font>
    <font>
      <sz val="14"/>
      <color theme="1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5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  <xf numFmtId="0" fontId="4" fillId="0" borderId="10" applyNumberFormat="0" applyFill="0" applyAlignment="0" applyProtection="0"/>
  </cellStyleXfs>
  <cellXfs count="213">
    <xf numFmtId="0" fontId="0" fillId="0" borderId="0" xfId="0" applyFont="1" applyAlignment="1">
      <alignment/>
    </xf>
    <xf numFmtId="0" fontId="6" fillId="0" borderId="0" xfId="56" applyFont="1" applyFill="1" applyAlignment="1">
      <alignment/>
      <protection/>
    </xf>
    <xf numFmtId="0" fontId="0" fillId="0" borderId="0" xfId="0" applyFill="1" applyAlignment="1">
      <alignment/>
    </xf>
    <xf numFmtId="0" fontId="0" fillId="0" borderId="0" xfId="0" applyAlignment="1">
      <alignment/>
    </xf>
    <xf numFmtId="172" fontId="7" fillId="0" borderId="0" xfId="67" applyFont="1" applyFill="1" applyAlignment="1" applyProtection="1">
      <alignment vertical="center"/>
      <protection/>
    </xf>
    <xf numFmtId="0" fontId="45" fillId="0" borderId="0" xfId="0" applyFont="1" applyAlignment="1">
      <alignment/>
    </xf>
    <xf numFmtId="2" fontId="7" fillId="0" borderId="0" xfId="67" applyNumberFormat="1" applyFont="1" applyFill="1" applyAlignment="1">
      <alignment vertical="center" wrapText="1"/>
      <protection/>
    </xf>
    <xf numFmtId="0" fontId="46" fillId="0" borderId="0" xfId="0" applyFont="1" applyAlignment="1">
      <alignment/>
    </xf>
    <xf numFmtId="0" fontId="9" fillId="0" borderId="0" xfId="56" applyFont="1" applyFill="1">
      <alignment/>
      <protection/>
    </xf>
    <xf numFmtId="3" fontId="9" fillId="0" borderId="0" xfId="67" applyNumberFormat="1" applyFont="1" applyFill="1" applyAlignment="1">
      <alignment/>
      <protection/>
    </xf>
    <xf numFmtId="2" fontId="9" fillId="0" borderId="0" xfId="67" applyNumberFormat="1" applyFont="1" applyFill="1" applyAlignment="1">
      <alignment/>
      <protection/>
    </xf>
    <xf numFmtId="3" fontId="7" fillId="0" borderId="0" xfId="67" applyNumberFormat="1" applyFont="1" applyFill="1" applyAlignment="1" applyProtection="1">
      <alignment horizontal="right"/>
      <protection/>
    </xf>
    <xf numFmtId="172" fontId="9" fillId="0" borderId="0" xfId="67" applyFont="1" applyFill="1" applyAlignment="1" applyProtection="1">
      <alignment/>
      <protection/>
    </xf>
    <xf numFmtId="3" fontId="7" fillId="0" borderId="0" xfId="67" applyNumberFormat="1" applyFont="1" applyFill="1" applyAlignment="1">
      <alignment/>
      <protection/>
    </xf>
    <xf numFmtId="172" fontId="7" fillId="0" borderId="0" xfId="67" applyFont="1" applyFill="1" applyAlignment="1" applyProtection="1">
      <alignment/>
      <protection/>
    </xf>
    <xf numFmtId="174" fontId="9" fillId="0" borderId="0" xfId="56" applyNumberFormat="1" applyFont="1" applyFill="1" applyAlignment="1">
      <alignment horizontal="right"/>
      <protection/>
    </xf>
    <xf numFmtId="172" fontId="7" fillId="0" borderId="0" xfId="67" applyFont="1" applyFill="1" applyAlignment="1" applyProtection="1">
      <alignment horizontal="left"/>
      <protection/>
    </xf>
    <xf numFmtId="173" fontId="9" fillId="0" borderId="0" xfId="67" applyNumberFormat="1" applyFont="1" applyFill="1">
      <alignment/>
      <protection/>
    </xf>
    <xf numFmtId="2" fontId="7" fillId="0" borderId="0" xfId="67" applyNumberFormat="1" applyFont="1" applyFill="1" applyAlignment="1">
      <alignment/>
      <protection/>
    </xf>
    <xf numFmtId="172" fontId="9" fillId="0" borderId="0" xfId="67" applyFont="1" applyFill="1" applyAlignment="1">
      <alignment horizontal="center"/>
      <protection/>
    </xf>
    <xf numFmtId="3" fontId="9" fillId="0" borderId="0" xfId="56" applyNumberFormat="1" applyFont="1" applyFill="1" applyAlignment="1">
      <alignment/>
      <protection/>
    </xf>
    <xf numFmtId="172" fontId="9" fillId="0" borderId="0" xfId="67" applyFont="1" applyFill="1" applyAlignment="1" applyProtection="1">
      <alignment horizontal="right"/>
      <protection/>
    </xf>
    <xf numFmtId="173" fontId="9" fillId="0" borderId="0" xfId="67" applyNumberFormat="1" applyFont="1" applyFill="1" applyBorder="1">
      <alignment/>
      <protection/>
    </xf>
    <xf numFmtId="172" fontId="7" fillId="0" borderId="0" xfId="67" applyFont="1" applyFill="1" applyAlignment="1" applyProtection="1">
      <alignment horizontal="right"/>
      <protection/>
    </xf>
    <xf numFmtId="175" fontId="7" fillId="0" borderId="11" xfId="67" applyNumberFormat="1" applyFont="1" applyFill="1" applyBorder="1" applyAlignment="1">
      <alignment horizontal="left" vertical="center"/>
      <protection/>
    </xf>
    <xf numFmtId="0" fontId="9" fillId="0" borderId="0" xfId="55" applyFont="1" applyFill="1" applyBorder="1">
      <alignment/>
      <protection/>
    </xf>
    <xf numFmtId="0" fontId="45" fillId="0" borderId="0" xfId="0" applyFont="1" applyBorder="1" applyAlignment="1">
      <alignment/>
    </xf>
    <xf numFmtId="3" fontId="7" fillId="34" borderId="12" xfId="55" applyNumberFormat="1" applyFont="1" applyFill="1" applyBorder="1" applyAlignment="1">
      <alignment horizontal="right"/>
      <protection/>
    </xf>
    <xf numFmtId="0" fontId="7" fillId="0" borderId="11" xfId="0" applyFont="1" applyFill="1" applyBorder="1" applyAlignment="1">
      <alignment/>
    </xf>
    <xf numFmtId="3" fontId="7" fillId="0" borderId="12" xfId="56" applyNumberFormat="1" applyFont="1" applyFill="1" applyBorder="1" applyAlignment="1">
      <alignment/>
      <protection/>
    </xf>
    <xf numFmtId="0" fontId="7" fillId="0" borderId="11" xfId="55" applyFont="1" applyFill="1" applyBorder="1" applyAlignment="1">
      <alignment horizontal="left"/>
      <protection/>
    </xf>
    <xf numFmtId="3" fontId="9" fillId="0" borderId="0" xfId="67" applyNumberFormat="1" applyFont="1" applyFill="1" applyBorder="1" applyAlignment="1">
      <alignment/>
      <protection/>
    </xf>
    <xf numFmtId="0" fontId="7" fillId="35" borderId="11" xfId="0" applyFont="1" applyFill="1" applyBorder="1" applyAlignment="1">
      <alignment/>
    </xf>
    <xf numFmtId="0" fontId="45" fillId="35" borderId="0" xfId="0" applyFont="1" applyFill="1" applyBorder="1" applyAlignment="1">
      <alignment/>
    </xf>
    <xf numFmtId="3" fontId="7" fillId="35" borderId="12" xfId="56" applyNumberFormat="1" applyFont="1" applyFill="1" applyBorder="1" applyAlignment="1">
      <alignment/>
      <protection/>
    </xf>
    <xf numFmtId="173" fontId="9" fillId="0" borderId="0" xfId="67" applyNumberFormat="1" applyFont="1" applyFill="1" applyBorder="1" applyAlignment="1">
      <alignment horizontal="center"/>
      <protection/>
    </xf>
    <xf numFmtId="10" fontId="7" fillId="34" borderId="12" xfId="69" applyNumberFormat="1" applyFont="1" applyFill="1" applyBorder="1" applyAlignment="1">
      <alignment horizontal="right"/>
    </xf>
    <xf numFmtId="9" fontId="7" fillId="34" borderId="12" xfId="69" applyFont="1" applyFill="1" applyBorder="1" applyAlignment="1">
      <alignment horizontal="right"/>
    </xf>
    <xf numFmtId="0" fontId="7" fillId="0" borderId="13" xfId="55" applyFont="1" applyFill="1" applyBorder="1" applyAlignment="1">
      <alignment horizontal="left"/>
      <protection/>
    </xf>
    <xf numFmtId="173" fontId="9" fillId="0" borderId="14" xfId="67" applyNumberFormat="1" applyFont="1" applyFill="1" applyBorder="1" applyAlignment="1">
      <alignment horizontal="center"/>
      <protection/>
    </xf>
    <xf numFmtId="0" fontId="45" fillId="0" borderId="14" xfId="0" applyFont="1" applyBorder="1" applyAlignment="1">
      <alignment/>
    </xf>
    <xf numFmtId="0" fontId="7" fillId="34" borderId="15" xfId="55" applyFont="1" applyFill="1" applyBorder="1">
      <alignment/>
      <protection/>
    </xf>
    <xf numFmtId="0" fontId="45" fillId="0" borderId="13" xfId="0" applyFont="1" applyBorder="1" applyAlignment="1">
      <alignment/>
    </xf>
    <xf numFmtId="3" fontId="9" fillId="0" borderId="14" xfId="56" applyNumberFormat="1" applyFont="1" applyFill="1" applyBorder="1" applyAlignment="1">
      <alignment/>
      <protection/>
    </xf>
    <xf numFmtId="0" fontId="9" fillId="0" borderId="15" xfId="56" applyFont="1" applyFill="1" applyBorder="1" applyAlignment="1">
      <alignment/>
      <protection/>
    </xf>
    <xf numFmtId="0" fontId="9" fillId="0" borderId="0" xfId="56" applyFont="1" applyFill="1" applyAlignment="1">
      <alignment/>
      <protection/>
    </xf>
    <xf numFmtId="0" fontId="7" fillId="0" borderId="0" xfId="56" applyFont="1" applyFill="1" applyBorder="1" applyAlignment="1" applyProtection="1">
      <alignment vertical="center"/>
      <protection/>
    </xf>
    <xf numFmtId="4" fontId="7" fillId="0" borderId="0" xfId="56" applyNumberFormat="1" applyFont="1" applyFill="1" applyBorder="1" applyAlignment="1" applyProtection="1">
      <alignment horizontal="left" vertical="center"/>
      <protection/>
    </xf>
    <xf numFmtId="0" fontId="7" fillId="0" borderId="0" xfId="56" applyFont="1" applyFill="1" applyBorder="1" applyAlignment="1" applyProtection="1">
      <alignment horizontal="left" vertical="center"/>
      <protection/>
    </xf>
    <xf numFmtId="3" fontId="7" fillId="0" borderId="0" xfId="56" applyNumberFormat="1" applyFont="1" applyFill="1" applyBorder="1" applyAlignment="1" applyProtection="1">
      <alignment horizontal="left" vertical="center"/>
      <protection/>
    </xf>
    <xf numFmtId="3" fontId="9" fillId="34" borderId="16" xfId="67" applyNumberFormat="1" applyFont="1" applyFill="1" applyBorder="1" applyAlignment="1" applyProtection="1">
      <alignment horizontal="right"/>
      <protection/>
    </xf>
    <xf numFmtId="3" fontId="9" fillId="34" borderId="17" xfId="67" applyNumberFormat="1" applyFont="1" applyFill="1" applyBorder="1" applyAlignment="1" applyProtection="1">
      <alignment horizontal="right"/>
      <protection/>
    </xf>
    <xf numFmtId="3" fontId="7" fillId="35" borderId="18" xfId="56" applyNumberFormat="1" applyFont="1" applyFill="1" applyBorder="1" applyAlignment="1" applyProtection="1">
      <alignment horizontal="right"/>
      <protection/>
    </xf>
    <xf numFmtId="0" fontId="46" fillId="0" borderId="0" xfId="0" applyFont="1" applyFill="1" applyAlignment="1">
      <alignment/>
    </xf>
    <xf numFmtId="3" fontId="7" fillId="0" borderId="0" xfId="56" applyNumberFormat="1" applyFont="1" applyFill="1" applyBorder="1" applyAlignment="1" applyProtection="1">
      <alignment horizontal="right"/>
      <protection/>
    </xf>
    <xf numFmtId="0" fontId="46" fillId="0" borderId="0" xfId="0" applyFont="1" applyAlignment="1">
      <alignment/>
    </xf>
    <xf numFmtId="3" fontId="9" fillId="34" borderId="16" xfId="56" applyNumberFormat="1" applyFont="1" applyFill="1" applyBorder="1" applyAlignment="1" applyProtection="1">
      <alignment horizontal="right"/>
      <protection/>
    </xf>
    <xf numFmtId="3" fontId="9" fillId="34" borderId="17" xfId="56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left"/>
      <protection/>
    </xf>
    <xf numFmtId="3" fontId="7" fillId="0" borderId="0" xfId="0" applyNumberFormat="1" applyFont="1" applyFill="1" applyBorder="1" applyAlignment="1" applyProtection="1">
      <alignment horizontal="right"/>
      <protection/>
    </xf>
    <xf numFmtId="9" fontId="7" fillId="34" borderId="19" xfId="69" applyFont="1" applyFill="1" applyBorder="1" applyAlignment="1">
      <alignment vertical="center"/>
    </xf>
    <xf numFmtId="3" fontId="7" fillId="34" borderId="19" xfId="56" applyNumberFormat="1" applyFont="1" applyFill="1" applyBorder="1" applyAlignment="1" applyProtection="1">
      <alignment horizontal="right"/>
      <protection/>
    </xf>
    <xf numFmtId="10" fontId="7" fillId="34" borderId="19" xfId="56" applyNumberFormat="1" applyFont="1" applyFill="1" applyBorder="1" applyAlignment="1">
      <alignment horizontal="right"/>
      <protection/>
    </xf>
    <xf numFmtId="3" fontId="7" fillId="34" borderId="19" xfId="56" applyNumberFormat="1" applyFont="1" applyFill="1" applyBorder="1" applyAlignment="1">
      <alignment horizontal="right"/>
      <protection/>
    </xf>
    <xf numFmtId="3" fontId="47" fillId="36" borderId="18" xfId="56" applyNumberFormat="1" applyFont="1" applyFill="1" applyBorder="1" applyAlignment="1" applyProtection="1">
      <alignment horizontal="right"/>
      <protection/>
    </xf>
    <xf numFmtId="0" fontId="47" fillId="0" borderId="0" xfId="0" applyFont="1" applyFill="1" applyBorder="1" applyAlignment="1">
      <alignment horizontal="center"/>
    </xf>
    <xf numFmtId="3" fontId="7" fillId="0" borderId="16" xfId="0" applyNumberFormat="1" applyFont="1" applyFill="1" applyBorder="1" applyAlignment="1">
      <alignment horizontal="center"/>
    </xf>
    <xf numFmtId="3" fontId="7" fillId="0" borderId="16" xfId="0" applyNumberFormat="1" applyFont="1" applyFill="1" applyBorder="1" applyAlignment="1">
      <alignment horizontal="center" vertical="center"/>
    </xf>
    <xf numFmtId="3" fontId="9" fillId="0" borderId="16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176" fontId="9" fillId="34" borderId="19" xfId="0" applyNumberFormat="1" applyFont="1" applyFill="1" applyBorder="1" applyAlignment="1">
      <alignment horizontal="center" vertical="center"/>
    </xf>
    <xf numFmtId="175" fontId="9" fillId="0" borderId="0" xfId="56" applyNumberFormat="1" applyFont="1" applyFill="1">
      <alignment/>
      <protection/>
    </xf>
    <xf numFmtId="0" fontId="0" fillId="0" borderId="0" xfId="0" applyBorder="1" applyAlignment="1">
      <alignment/>
    </xf>
    <xf numFmtId="173" fontId="9" fillId="34" borderId="17" xfId="56" applyNumberFormat="1" applyFont="1" applyFill="1" applyBorder="1" applyAlignment="1" applyProtection="1">
      <alignment horizontal="right"/>
      <protection/>
    </xf>
    <xf numFmtId="3" fontId="9" fillId="34" borderId="20" xfId="67" applyNumberFormat="1" applyFont="1" applyFill="1" applyBorder="1" applyAlignment="1" applyProtection="1">
      <alignment horizontal="right"/>
      <protection/>
    </xf>
    <xf numFmtId="3" fontId="7" fillId="0" borderId="0" xfId="56" applyNumberFormat="1" applyFont="1" applyFill="1" applyBorder="1" applyAlignment="1" applyProtection="1">
      <alignment horizontal="right" vertical="center"/>
      <protection/>
    </xf>
    <xf numFmtId="0" fontId="7" fillId="0" borderId="0" xfId="56" applyFont="1" applyFill="1" applyBorder="1" applyAlignment="1" applyProtection="1">
      <alignment horizontal="center" vertical="center"/>
      <protection/>
    </xf>
    <xf numFmtId="4" fontId="7" fillId="0" borderId="0" xfId="56" applyNumberFormat="1" applyFont="1" applyFill="1" applyBorder="1" applyAlignment="1" applyProtection="1">
      <alignment horizontal="center" vertical="center"/>
      <protection/>
    </xf>
    <xf numFmtId="3" fontId="9" fillId="34" borderId="21" xfId="56" applyNumberFormat="1" applyFont="1" applyFill="1" applyBorder="1" applyAlignment="1" applyProtection="1">
      <alignment horizontal="right"/>
      <protection/>
    </xf>
    <xf numFmtId="3" fontId="9" fillId="34" borderId="22" xfId="56" applyNumberFormat="1" applyFont="1" applyFill="1" applyBorder="1" applyAlignment="1" applyProtection="1">
      <alignment horizontal="right"/>
      <protection/>
    </xf>
    <xf numFmtId="3" fontId="9" fillId="34" borderId="22" xfId="56" applyNumberFormat="1" applyFont="1" applyFill="1" applyBorder="1" applyAlignment="1" applyProtection="1">
      <alignment horizontal="right" vertical="center"/>
      <protection/>
    </xf>
    <xf numFmtId="173" fontId="9" fillId="34" borderId="23" xfId="56" applyNumberFormat="1" applyFont="1" applyFill="1" applyBorder="1" applyAlignment="1" applyProtection="1">
      <alignment horizontal="right"/>
      <protection/>
    </xf>
    <xf numFmtId="173" fontId="9" fillId="34" borderId="20" xfId="56" applyNumberFormat="1" applyFont="1" applyFill="1" applyBorder="1" applyAlignment="1" applyProtection="1">
      <alignment horizontal="right"/>
      <protection/>
    </xf>
    <xf numFmtId="173" fontId="9" fillId="34" borderId="20" xfId="67" applyNumberFormat="1" applyFont="1" applyFill="1" applyBorder="1" applyAlignment="1" applyProtection="1">
      <alignment horizontal="right" vertical="center"/>
      <protection/>
    </xf>
    <xf numFmtId="2" fontId="9" fillId="34" borderId="17" xfId="56" applyNumberFormat="1" applyFont="1" applyFill="1" applyBorder="1" applyAlignment="1" applyProtection="1">
      <alignment horizontal="right"/>
      <protection/>
    </xf>
    <xf numFmtId="0" fontId="9" fillId="34" borderId="22" xfId="56" applyFont="1" applyFill="1" applyBorder="1" applyAlignment="1" applyProtection="1">
      <alignment horizontal="right"/>
      <protection/>
    </xf>
    <xf numFmtId="172" fontId="9" fillId="34" borderId="22" xfId="67" applyFont="1" applyFill="1" applyBorder="1" applyAlignment="1">
      <alignment horizontal="right" vertical="center"/>
      <protection/>
    </xf>
    <xf numFmtId="3" fontId="7" fillId="35" borderId="24" xfId="0" applyNumberFormat="1" applyFont="1" applyFill="1" applyBorder="1" applyAlignment="1" applyProtection="1">
      <alignment horizontal="right"/>
      <protection/>
    </xf>
    <xf numFmtId="2" fontId="9" fillId="34" borderId="25" xfId="56" applyNumberFormat="1" applyFont="1" applyFill="1" applyBorder="1" applyAlignment="1" applyProtection="1">
      <alignment horizontal="right"/>
      <protection/>
    </xf>
    <xf numFmtId="173" fontId="9" fillId="34" borderId="25" xfId="56" applyNumberFormat="1" applyFont="1" applyFill="1" applyBorder="1" applyAlignment="1" applyProtection="1">
      <alignment horizontal="right"/>
      <protection/>
    </xf>
    <xf numFmtId="3" fontId="9" fillId="34" borderId="25" xfId="67" applyNumberFormat="1" applyFont="1" applyFill="1" applyBorder="1" applyAlignment="1" applyProtection="1">
      <alignment horizontal="right"/>
      <protection/>
    </xf>
    <xf numFmtId="0" fontId="46" fillId="34" borderId="0" xfId="0" applyFont="1" applyFill="1" applyAlignment="1">
      <alignment/>
    </xf>
    <xf numFmtId="172" fontId="7" fillId="34" borderId="0" xfId="67" applyFont="1" applyFill="1" applyAlignment="1" applyProtection="1">
      <alignment horizontal="right"/>
      <protection/>
    </xf>
    <xf numFmtId="0" fontId="9" fillId="0" borderId="0" xfId="56" applyFont="1" applyFill="1" applyAlignment="1">
      <alignment horizontal="right"/>
      <protection/>
    </xf>
    <xf numFmtId="3" fontId="9" fillId="0" borderId="19" xfId="0" applyNumberFormat="1" applyFont="1" applyFill="1" applyBorder="1" applyAlignment="1">
      <alignment horizontal="center" vertical="center"/>
    </xf>
    <xf numFmtId="0" fontId="9" fillId="0" borderId="22" xfId="56" applyFont="1" applyFill="1" applyBorder="1" applyAlignment="1" applyProtection="1">
      <alignment horizontal="left"/>
      <protection/>
    </xf>
    <xf numFmtId="0" fontId="9" fillId="0" borderId="0" xfId="56" applyFont="1" applyFill="1" applyBorder="1" applyAlignment="1" applyProtection="1">
      <alignment horizontal="left"/>
      <protection/>
    </xf>
    <xf numFmtId="172" fontId="9" fillId="0" borderId="0" xfId="67" applyFont="1" applyFill="1" applyAlignment="1">
      <alignment horizontal="left"/>
      <protection/>
    </xf>
    <xf numFmtId="3" fontId="9" fillId="0" borderId="19" xfId="0" applyNumberFormat="1" applyFont="1" applyFill="1" applyBorder="1" applyAlignment="1">
      <alignment horizontal="center"/>
    </xf>
    <xf numFmtId="3" fontId="9" fillId="34" borderId="21" xfId="67" applyNumberFormat="1" applyFont="1" applyFill="1" applyBorder="1" applyAlignment="1" applyProtection="1">
      <alignment horizontal="right"/>
      <protection/>
    </xf>
    <xf numFmtId="3" fontId="9" fillId="34" borderId="22" xfId="67" applyNumberFormat="1" applyFont="1" applyFill="1" applyBorder="1" applyAlignment="1" applyProtection="1">
      <alignment horizontal="right"/>
      <protection/>
    </xf>
    <xf numFmtId="3" fontId="7" fillId="35" borderId="24" xfId="56" applyNumberFormat="1" applyFont="1" applyFill="1" applyBorder="1" applyAlignment="1" applyProtection="1">
      <alignment horizontal="right"/>
      <protection/>
    </xf>
    <xf numFmtId="0" fontId="9" fillId="34" borderId="21" xfId="56" applyFont="1" applyFill="1" applyBorder="1" applyAlignment="1" applyProtection="1">
      <alignment horizontal="left"/>
      <protection/>
    </xf>
    <xf numFmtId="0" fontId="9" fillId="34" borderId="26" xfId="56" applyFont="1" applyFill="1" applyBorder="1" applyAlignment="1" applyProtection="1">
      <alignment horizontal="left"/>
      <protection/>
    </xf>
    <xf numFmtId="2" fontId="9" fillId="34" borderId="16" xfId="56" applyNumberFormat="1" applyFont="1" applyFill="1" applyBorder="1" applyAlignment="1" applyProtection="1">
      <alignment horizontal="right"/>
      <protection/>
    </xf>
    <xf numFmtId="173" fontId="9" fillId="34" borderId="16" xfId="56" applyNumberFormat="1" applyFont="1" applyFill="1" applyBorder="1" applyAlignment="1" applyProtection="1">
      <alignment horizontal="right"/>
      <protection/>
    </xf>
    <xf numFmtId="3" fontId="9" fillId="34" borderId="23" xfId="67" applyNumberFormat="1" applyFont="1" applyFill="1" applyBorder="1" applyAlignment="1" applyProtection="1">
      <alignment horizontal="right"/>
      <protection/>
    </xf>
    <xf numFmtId="3" fontId="9" fillId="34" borderId="24" xfId="67" applyNumberFormat="1" applyFont="1" applyFill="1" applyBorder="1" applyAlignment="1" applyProtection="1">
      <alignment horizontal="right"/>
      <protection/>
    </xf>
    <xf numFmtId="173" fontId="9" fillId="34" borderId="23" xfId="67" applyNumberFormat="1" applyFont="1" applyFill="1" applyBorder="1" applyAlignment="1" applyProtection="1">
      <alignment horizontal="right"/>
      <protection/>
    </xf>
    <xf numFmtId="172" fontId="9" fillId="34" borderId="21" xfId="67" applyFont="1" applyFill="1" applyBorder="1" applyAlignment="1">
      <alignment horizontal="right"/>
      <protection/>
    </xf>
    <xf numFmtId="0" fontId="0" fillId="0" borderId="19" xfId="0" applyBorder="1" applyAlignment="1">
      <alignment/>
    </xf>
    <xf numFmtId="0" fontId="40" fillId="37" borderId="19" xfId="0" applyFont="1" applyFill="1" applyBorder="1" applyAlignment="1">
      <alignment horizontal="center"/>
    </xf>
    <xf numFmtId="0" fontId="44" fillId="0" borderId="0" xfId="0" applyFont="1" applyAlignment="1">
      <alignment/>
    </xf>
    <xf numFmtId="3" fontId="0" fillId="0" borderId="19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27" xfId="0" applyBorder="1" applyAlignment="1">
      <alignment/>
    </xf>
    <xf numFmtId="3" fontId="0" fillId="0" borderId="27" xfId="0" applyNumberFormat="1" applyBorder="1" applyAlignment="1">
      <alignment/>
    </xf>
    <xf numFmtId="1" fontId="0" fillId="0" borderId="0" xfId="0" applyNumberFormat="1" applyAlignment="1">
      <alignment/>
    </xf>
    <xf numFmtId="3" fontId="44" fillId="0" borderId="0" xfId="0" applyNumberFormat="1" applyFont="1" applyAlignment="1">
      <alignment/>
    </xf>
    <xf numFmtId="177" fontId="9" fillId="34" borderId="0" xfId="56" applyNumberFormat="1" applyFont="1" applyFill="1" applyBorder="1" applyAlignment="1" applyProtection="1">
      <alignment horizontal="left"/>
      <protection/>
    </xf>
    <xf numFmtId="0" fontId="48" fillId="34" borderId="20" xfId="56" applyFont="1" applyFill="1" applyBorder="1" applyAlignment="1" applyProtection="1">
      <alignment horizontal="left"/>
      <protection/>
    </xf>
    <xf numFmtId="3" fontId="9" fillId="34" borderId="25" xfId="56" applyNumberFormat="1" applyFont="1" applyFill="1" applyBorder="1" applyAlignment="1" applyProtection="1">
      <alignment horizontal="right"/>
      <protection/>
    </xf>
    <xf numFmtId="0" fontId="47" fillId="34" borderId="20" xfId="56" applyFont="1" applyFill="1" applyBorder="1" applyAlignment="1" applyProtection="1">
      <alignment horizontal="left"/>
      <protection/>
    </xf>
    <xf numFmtId="0" fontId="9" fillId="34" borderId="22" xfId="56" applyFont="1" applyFill="1" applyBorder="1" applyAlignment="1" applyProtection="1">
      <alignment horizontal="left"/>
      <protection/>
    </xf>
    <xf numFmtId="0" fontId="9" fillId="34" borderId="0" xfId="56" applyFont="1" applyFill="1" applyBorder="1" applyAlignment="1" applyProtection="1">
      <alignment horizontal="left"/>
      <protection/>
    </xf>
    <xf numFmtId="0" fontId="9" fillId="34" borderId="20" xfId="56" applyFont="1" applyFill="1" applyBorder="1" applyAlignment="1" applyProtection="1">
      <alignment horizontal="left"/>
      <protection/>
    </xf>
    <xf numFmtId="0" fontId="7" fillId="34" borderId="22" xfId="56" applyFont="1" applyFill="1" applyBorder="1" applyAlignment="1" applyProtection="1">
      <alignment horizontal="left"/>
      <protection/>
    </xf>
    <xf numFmtId="0" fontId="7" fillId="34" borderId="0" xfId="56" applyFont="1" applyFill="1" applyBorder="1" applyAlignment="1" applyProtection="1">
      <alignment horizontal="left"/>
      <protection/>
    </xf>
    <xf numFmtId="0" fontId="7" fillId="34" borderId="20" xfId="56" applyFont="1" applyFill="1" applyBorder="1" applyAlignment="1" applyProtection="1">
      <alignment horizontal="left"/>
      <protection/>
    </xf>
    <xf numFmtId="0" fontId="7" fillId="34" borderId="21" xfId="67" applyNumberFormat="1" applyFont="1" applyFill="1" applyBorder="1" applyAlignment="1" applyProtection="1">
      <alignment horizontal="left"/>
      <protection/>
    </xf>
    <xf numFmtId="0" fontId="7" fillId="34" borderId="26" xfId="67" applyNumberFormat="1" applyFont="1" applyFill="1" applyBorder="1" applyAlignment="1" applyProtection="1">
      <alignment horizontal="left"/>
      <protection/>
    </xf>
    <xf numFmtId="0" fontId="9" fillId="34" borderId="22" xfId="67" applyNumberFormat="1" applyFont="1" applyFill="1" applyBorder="1" applyAlignment="1" applyProtection="1">
      <alignment horizontal="left"/>
      <protection/>
    </xf>
    <xf numFmtId="0" fontId="9" fillId="34" borderId="0" xfId="67" applyNumberFormat="1" applyFont="1" applyFill="1" applyBorder="1" applyAlignment="1" applyProtection="1">
      <alignment horizontal="left"/>
      <protection/>
    </xf>
    <xf numFmtId="0" fontId="9" fillId="34" borderId="20" xfId="67" applyNumberFormat="1" applyFont="1" applyFill="1" applyBorder="1" applyAlignment="1" applyProtection="1">
      <alignment horizontal="left"/>
      <protection/>
    </xf>
    <xf numFmtId="0" fontId="7" fillId="34" borderId="22" xfId="67" applyNumberFormat="1" applyFont="1" applyFill="1" applyBorder="1" applyAlignment="1" applyProtection="1">
      <alignment horizontal="left" vertical="center" wrapText="1"/>
      <protection/>
    </xf>
    <xf numFmtId="0" fontId="7" fillId="34" borderId="0" xfId="67" applyNumberFormat="1" applyFont="1" applyFill="1" applyBorder="1" applyAlignment="1" applyProtection="1">
      <alignment horizontal="left" vertical="center" wrapText="1"/>
      <protection/>
    </xf>
    <xf numFmtId="0" fontId="7" fillId="34" borderId="20" xfId="67" applyNumberFormat="1" applyFont="1" applyFill="1" applyBorder="1" applyAlignment="1" applyProtection="1">
      <alignment horizontal="left" vertical="center" wrapText="1"/>
      <protection/>
    </xf>
    <xf numFmtId="0" fontId="7" fillId="35" borderId="28" xfId="0" applyFont="1" applyFill="1" applyBorder="1" applyAlignment="1">
      <alignment horizontal="center"/>
    </xf>
    <xf numFmtId="0" fontId="7" fillId="35" borderId="29" xfId="0" applyFont="1" applyFill="1" applyBorder="1" applyAlignment="1">
      <alignment horizontal="center"/>
    </xf>
    <xf numFmtId="0" fontId="7" fillId="35" borderId="18" xfId="0" applyFont="1" applyFill="1" applyBorder="1" applyAlignment="1">
      <alignment horizontal="center"/>
    </xf>
    <xf numFmtId="3" fontId="7" fillId="0" borderId="30" xfId="0" applyNumberFormat="1" applyFont="1" applyFill="1" applyBorder="1" applyAlignment="1">
      <alignment horizontal="center"/>
    </xf>
    <xf numFmtId="3" fontId="7" fillId="0" borderId="24" xfId="0" applyNumberFormat="1" applyFont="1" applyFill="1" applyBorder="1" applyAlignment="1">
      <alignment horizontal="center"/>
    </xf>
    <xf numFmtId="3" fontId="7" fillId="0" borderId="21" xfId="0" applyNumberFormat="1" applyFont="1" applyFill="1" applyBorder="1" applyAlignment="1">
      <alignment horizontal="center"/>
    </xf>
    <xf numFmtId="3" fontId="7" fillId="0" borderId="23" xfId="0" applyNumberFormat="1" applyFont="1" applyFill="1" applyBorder="1" applyAlignment="1">
      <alignment horizontal="center"/>
    </xf>
    <xf numFmtId="3" fontId="7" fillId="0" borderId="22" xfId="0" applyNumberFormat="1" applyFont="1" applyFill="1" applyBorder="1" applyAlignment="1">
      <alignment horizontal="center"/>
    </xf>
    <xf numFmtId="3" fontId="7" fillId="0" borderId="20" xfId="0" applyNumberFormat="1" applyFont="1" applyFill="1" applyBorder="1" applyAlignment="1">
      <alignment horizontal="center"/>
    </xf>
    <xf numFmtId="0" fontId="7" fillId="35" borderId="31" xfId="0" applyFont="1" applyFill="1" applyBorder="1" applyAlignment="1">
      <alignment horizontal="center"/>
    </xf>
    <xf numFmtId="0" fontId="7" fillId="35" borderId="32" xfId="0" applyFont="1" applyFill="1" applyBorder="1" applyAlignment="1">
      <alignment horizontal="center"/>
    </xf>
    <xf numFmtId="0" fontId="7" fillId="35" borderId="33" xfId="0" applyFont="1" applyFill="1" applyBorder="1" applyAlignment="1">
      <alignment horizontal="center"/>
    </xf>
    <xf numFmtId="0" fontId="47" fillId="36" borderId="28" xfId="56" applyFont="1" applyFill="1" applyBorder="1" applyAlignment="1" applyProtection="1">
      <alignment horizontal="left" vertical="center"/>
      <protection/>
    </xf>
    <xf numFmtId="0" fontId="47" fillId="36" borderId="29" xfId="56" applyFont="1" applyFill="1" applyBorder="1" applyAlignment="1" applyProtection="1">
      <alignment horizontal="left" vertical="center"/>
      <protection/>
    </xf>
    <xf numFmtId="0" fontId="9" fillId="0" borderId="22" xfId="56" applyFont="1" applyFill="1" applyBorder="1" applyAlignment="1">
      <alignment horizontal="left" vertical="top" wrapText="1"/>
      <protection/>
    </xf>
    <xf numFmtId="0" fontId="9" fillId="0" borderId="0" xfId="56" applyFont="1" applyFill="1" applyBorder="1" applyAlignment="1">
      <alignment horizontal="left" vertical="top" wrapText="1"/>
      <protection/>
    </xf>
    <xf numFmtId="0" fontId="9" fillId="0" borderId="20" xfId="56" applyFont="1" applyFill="1" applyBorder="1" applyAlignment="1">
      <alignment horizontal="left" vertical="top" wrapText="1"/>
      <protection/>
    </xf>
    <xf numFmtId="3" fontId="9" fillId="0" borderId="21" xfId="53" applyNumberFormat="1" applyFont="1" applyFill="1" applyBorder="1" applyAlignment="1">
      <alignment horizontal="left" vertical="top" wrapText="1"/>
      <protection/>
    </xf>
    <xf numFmtId="3" fontId="9" fillId="0" borderId="26" xfId="53" applyNumberFormat="1" applyFont="1" applyFill="1" applyBorder="1" applyAlignment="1">
      <alignment horizontal="left" vertical="top" wrapText="1"/>
      <protection/>
    </xf>
    <xf numFmtId="3" fontId="9" fillId="0" borderId="23" xfId="53" applyNumberFormat="1" applyFont="1" applyFill="1" applyBorder="1" applyAlignment="1">
      <alignment horizontal="left" vertical="top" wrapText="1"/>
      <protection/>
    </xf>
    <xf numFmtId="3" fontId="9" fillId="0" borderId="22" xfId="53" applyNumberFormat="1" applyFont="1" applyFill="1" applyBorder="1" applyAlignment="1">
      <alignment horizontal="left" vertical="top" wrapText="1"/>
      <protection/>
    </xf>
    <xf numFmtId="3" fontId="9" fillId="0" borderId="0" xfId="53" applyNumberFormat="1" applyFont="1" applyFill="1" applyBorder="1" applyAlignment="1">
      <alignment horizontal="left" vertical="top" wrapText="1"/>
      <protection/>
    </xf>
    <xf numFmtId="3" fontId="9" fillId="0" borderId="20" xfId="53" applyNumberFormat="1" applyFont="1" applyFill="1" applyBorder="1" applyAlignment="1">
      <alignment horizontal="left" vertical="top" wrapText="1"/>
      <protection/>
    </xf>
    <xf numFmtId="0" fontId="7" fillId="35" borderId="28" xfId="56" applyFont="1" applyFill="1" applyBorder="1" applyAlignment="1" applyProtection="1">
      <alignment horizontal="left" vertical="center"/>
      <protection/>
    </xf>
    <xf numFmtId="0" fontId="7" fillId="35" borderId="29" xfId="56" applyFont="1" applyFill="1" applyBorder="1" applyAlignment="1" applyProtection="1">
      <alignment horizontal="left" vertical="center"/>
      <protection/>
    </xf>
    <xf numFmtId="3" fontId="7" fillId="0" borderId="0" xfId="56" applyNumberFormat="1" applyFont="1" applyFill="1" applyBorder="1" applyAlignment="1">
      <alignment horizontal="left"/>
      <protection/>
    </xf>
    <xf numFmtId="0" fontId="7" fillId="35" borderId="21" xfId="0" applyFont="1" applyFill="1" applyBorder="1" applyAlignment="1">
      <alignment horizontal="center" vertical="center" wrapText="1"/>
    </xf>
    <xf numFmtId="0" fontId="7" fillId="35" borderId="23" xfId="0" applyFont="1" applyFill="1" applyBorder="1" applyAlignment="1">
      <alignment horizontal="center" vertical="center" wrapText="1"/>
    </xf>
    <xf numFmtId="0" fontId="7" fillId="35" borderId="22" xfId="0" applyFont="1" applyFill="1" applyBorder="1" applyAlignment="1">
      <alignment horizontal="center" vertical="center" wrapText="1"/>
    </xf>
    <xf numFmtId="0" fontId="7" fillId="35" borderId="20" xfId="0" applyFont="1" applyFill="1" applyBorder="1" applyAlignment="1">
      <alignment horizontal="center" vertical="center" wrapText="1"/>
    </xf>
    <xf numFmtId="0" fontId="7" fillId="35" borderId="30" xfId="0" applyFont="1" applyFill="1" applyBorder="1" applyAlignment="1">
      <alignment horizontal="center" vertical="center" wrapText="1"/>
    </xf>
    <xf numFmtId="0" fontId="7" fillId="35" borderId="24" xfId="0" applyFont="1" applyFill="1" applyBorder="1" applyAlignment="1">
      <alignment horizontal="center" vertical="center" wrapText="1"/>
    </xf>
    <xf numFmtId="0" fontId="7" fillId="35" borderId="28" xfId="0" applyFont="1" applyFill="1" applyBorder="1" applyAlignment="1">
      <alignment horizontal="center" vertical="center"/>
    </xf>
    <xf numFmtId="0" fontId="7" fillId="35" borderId="29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0" fontId="9" fillId="34" borderId="22" xfId="56" applyFont="1" applyFill="1" applyBorder="1" applyAlignment="1">
      <alignment horizontal="center" vertical="center"/>
      <protection/>
    </xf>
    <xf numFmtId="0" fontId="9" fillId="34" borderId="20" xfId="56" applyFont="1" applyFill="1" applyBorder="1" applyAlignment="1">
      <alignment horizontal="center" vertical="center"/>
      <protection/>
    </xf>
    <xf numFmtId="0" fontId="9" fillId="34" borderId="30" xfId="56" applyFont="1" applyFill="1" applyBorder="1" applyAlignment="1">
      <alignment horizontal="center" vertical="center"/>
      <protection/>
    </xf>
    <xf numFmtId="0" fontId="9" fillId="34" borderId="24" xfId="56" applyFont="1" applyFill="1" applyBorder="1" applyAlignment="1">
      <alignment horizontal="center" vertical="center"/>
      <protection/>
    </xf>
    <xf numFmtId="0" fontId="9" fillId="34" borderId="22" xfId="56" applyFont="1" applyFill="1" applyBorder="1" applyAlignment="1" applyProtection="1">
      <alignment horizontal="left"/>
      <protection/>
    </xf>
    <xf numFmtId="0" fontId="9" fillId="34" borderId="0" xfId="56" applyFont="1" applyFill="1" applyBorder="1" applyAlignment="1" applyProtection="1">
      <alignment horizontal="left"/>
      <protection/>
    </xf>
    <xf numFmtId="0" fontId="9" fillId="34" borderId="20" xfId="56" applyFont="1" applyFill="1" applyBorder="1" applyAlignment="1" applyProtection="1">
      <alignment horizontal="left"/>
      <protection/>
    </xf>
    <xf numFmtId="0" fontId="9" fillId="34" borderId="19" xfId="56" applyFont="1" applyFill="1" applyBorder="1" applyAlignment="1" applyProtection="1">
      <alignment horizontal="left"/>
      <protection/>
    </xf>
    <xf numFmtId="0" fontId="9" fillId="34" borderId="21" xfId="56" applyFont="1" applyFill="1" applyBorder="1" applyAlignment="1">
      <alignment horizontal="center" vertical="center"/>
      <protection/>
    </xf>
    <xf numFmtId="0" fontId="9" fillId="34" borderId="23" xfId="56" applyFont="1" applyFill="1" applyBorder="1" applyAlignment="1">
      <alignment horizontal="center" vertical="center"/>
      <protection/>
    </xf>
    <xf numFmtId="0" fontId="47" fillId="36" borderId="31" xfId="55" applyFont="1" applyFill="1" applyBorder="1" applyAlignment="1">
      <alignment horizontal="center"/>
      <protection/>
    </xf>
    <xf numFmtId="0" fontId="47" fillId="36" borderId="32" xfId="55" applyFont="1" applyFill="1" applyBorder="1" applyAlignment="1">
      <alignment horizontal="center"/>
      <protection/>
    </xf>
    <xf numFmtId="0" fontId="47" fillId="36" borderId="33" xfId="55" applyFont="1" applyFill="1" applyBorder="1" applyAlignment="1">
      <alignment horizontal="center"/>
      <protection/>
    </xf>
    <xf numFmtId="4" fontId="47" fillId="36" borderId="34" xfId="56" applyNumberFormat="1" applyFont="1" applyFill="1" applyBorder="1" applyAlignment="1" applyProtection="1">
      <alignment horizontal="center" vertical="center" wrapText="1"/>
      <protection/>
    </xf>
    <xf numFmtId="4" fontId="47" fillId="36" borderId="14" xfId="56" applyNumberFormat="1" applyFont="1" applyFill="1" applyBorder="1" applyAlignment="1" applyProtection="1">
      <alignment horizontal="center" vertical="center" wrapText="1"/>
      <protection/>
    </xf>
    <xf numFmtId="0" fontId="47" fillId="36" borderId="34" xfId="56" applyFont="1" applyFill="1" applyBorder="1" applyAlignment="1" applyProtection="1">
      <alignment horizontal="center" vertical="center" wrapText="1"/>
      <protection/>
    </xf>
    <xf numFmtId="0" fontId="47" fillId="36" borderId="14" xfId="56" applyFont="1" applyFill="1" applyBorder="1" applyAlignment="1" applyProtection="1">
      <alignment horizontal="center" vertical="center" wrapText="1"/>
      <protection/>
    </xf>
    <xf numFmtId="3" fontId="47" fillId="36" borderId="34" xfId="56" applyNumberFormat="1" applyFont="1" applyFill="1" applyBorder="1" applyAlignment="1" applyProtection="1">
      <alignment horizontal="center" vertical="center" wrapText="1"/>
      <protection/>
    </xf>
    <xf numFmtId="3" fontId="47" fillId="36" borderId="14" xfId="56" applyNumberFormat="1" applyFont="1" applyFill="1" applyBorder="1" applyAlignment="1" applyProtection="1">
      <alignment horizontal="center" vertical="center" wrapText="1"/>
      <protection/>
    </xf>
    <xf numFmtId="3" fontId="47" fillId="36" borderId="35" xfId="56" applyNumberFormat="1" applyFont="1" applyFill="1" applyBorder="1" applyAlignment="1" applyProtection="1">
      <alignment horizontal="center" vertical="center"/>
      <protection/>
    </xf>
    <xf numFmtId="3" fontId="47" fillId="36" borderId="15" xfId="56" applyNumberFormat="1" applyFont="1" applyFill="1" applyBorder="1" applyAlignment="1" applyProtection="1">
      <alignment horizontal="center" vertical="center"/>
      <protection/>
    </xf>
    <xf numFmtId="172" fontId="8" fillId="0" borderId="0" xfId="67" applyFont="1" applyFill="1" applyAlignment="1" applyProtection="1">
      <alignment horizontal="center" vertical="center"/>
      <protection/>
    </xf>
    <xf numFmtId="3" fontId="9" fillId="0" borderId="0" xfId="67" applyNumberFormat="1" applyFont="1" applyFill="1" applyAlignment="1">
      <alignment horizontal="center"/>
      <protection/>
    </xf>
    <xf numFmtId="2" fontId="10" fillId="0" borderId="0" xfId="67" applyNumberFormat="1" applyFont="1" applyFill="1" applyAlignment="1">
      <alignment horizontal="center" vertical="center" wrapText="1"/>
      <protection/>
    </xf>
    <xf numFmtId="0" fontId="9" fillId="0" borderId="21" xfId="56" applyFont="1" applyFill="1" applyBorder="1" applyAlignment="1" applyProtection="1">
      <alignment horizontal="left"/>
      <protection/>
    </xf>
    <xf numFmtId="0" fontId="9" fillId="0" borderId="26" xfId="56" applyFont="1" applyFill="1" applyBorder="1" applyAlignment="1" applyProtection="1">
      <alignment horizontal="left"/>
      <protection/>
    </xf>
    <xf numFmtId="0" fontId="47" fillId="36" borderId="36" xfId="56" applyFont="1" applyFill="1" applyBorder="1" applyAlignment="1" applyProtection="1">
      <alignment horizontal="center" vertical="center"/>
      <protection/>
    </xf>
    <xf numFmtId="0" fontId="47" fillId="36" borderId="34" xfId="56" applyFont="1" applyFill="1" applyBorder="1" applyAlignment="1" applyProtection="1">
      <alignment horizontal="center" vertical="center"/>
      <protection/>
    </xf>
    <xf numFmtId="0" fontId="47" fillId="36" borderId="13" xfId="56" applyFont="1" applyFill="1" applyBorder="1" applyAlignment="1" applyProtection="1">
      <alignment horizontal="center" vertical="center"/>
      <protection/>
    </xf>
    <xf numFmtId="0" fontId="47" fillId="36" borderId="14" xfId="56" applyFont="1" applyFill="1" applyBorder="1" applyAlignment="1" applyProtection="1">
      <alignment horizontal="center" vertical="center"/>
      <protection/>
    </xf>
    <xf numFmtId="0" fontId="9" fillId="34" borderId="30" xfId="56" applyFont="1" applyFill="1" applyBorder="1" applyAlignment="1" applyProtection="1">
      <alignment horizontal="left"/>
      <protection/>
    </xf>
    <xf numFmtId="0" fontId="9" fillId="34" borderId="27" xfId="56" applyFont="1" applyFill="1" applyBorder="1" applyAlignment="1" applyProtection="1">
      <alignment horizontal="left"/>
      <protection/>
    </xf>
    <xf numFmtId="0" fontId="9" fillId="0" borderId="30" xfId="56" applyFont="1" applyFill="1" applyBorder="1" applyAlignment="1">
      <alignment horizontal="left" vertical="top" wrapText="1"/>
      <protection/>
    </xf>
    <xf numFmtId="0" fontId="9" fillId="0" borderId="27" xfId="56" applyFont="1" applyFill="1" applyBorder="1" applyAlignment="1">
      <alignment horizontal="left" vertical="top" wrapText="1"/>
      <protection/>
    </xf>
    <xf numFmtId="0" fontId="9" fillId="0" borderId="24" xfId="56" applyFont="1" applyFill="1" applyBorder="1" applyAlignment="1">
      <alignment horizontal="left" vertical="top" wrapText="1"/>
      <protection/>
    </xf>
    <xf numFmtId="0" fontId="9" fillId="34" borderId="19" xfId="56" applyFont="1" applyFill="1" applyBorder="1" applyAlignment="1" applyProtection="1">
      <alignment horizontal="left" vertical="center"/>
      <protection/>
    </xf>
    <xf numFmtId="0" fontId="7" fillId="35" borderId="28" xfId="56" applyFont="1" applyFill="1" applyBorder="1" applyAlignment="1" applyProtection="1">
      <alignment horizontal="left"/>
      <protection/>
    </xf>
    <xf numFmtId="0" fontId="7" fillId="35" borderId="29" xfId="56" applyFont="1" applyFill="1" applyBorder="1" applyAlignment="1" applyProtection="1">
      <alignment horizontal="left"/>
      <protection/>
    </xf>
    <xf numFmtId="0" fontId="7" fillId="35" borderId="28" xfId="0" applyFont="1" applyFill="1" applyBorder="1" applyAlignment="1" applyProtection="1">
      <alignment horizontal="left"/>
      <protection/>
    </xf>
    <xf numFmtId="0" fontId="7" fillId="35" borderId="29" xfId="0" applyFont="1" applyFill="1" applyBorder="1" applyAlignment="1" applyProtection="1">
      <alignment horizontal="left"/>
      <protection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2 2" xfId="59"/>
    <cellStyle name="Normal 3 2 2 2" xfId="60"/>
    <cellStyle name="Normal 3 2 2 3" xfId="61"/>
    <cellStyle name="Normal 3 2 2 4" xfId="62"/>
    <cellStyle name="Normal 3 2 2 5" xfId="63"/>
    <cellStyle name="Normal 4" xfId="64"/>
    <cellStyle name="Normal 5" xfId="65"/>
    <cellStyle name="Normal 6" xfId="66"/>
    <cellStyle name="Normal_Hoja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628650</xdr:colOff>
      <xdr:row>7</xdr:row>
      <xdr:rowOff>104775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187642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106</xdr:row>
      <xdr:rowOff>123825</xdr:rowOff>
    </xdr:from>
    <xdr:to>
      <xdr:col>2</xdr:col>
      <xdr:colOff>647700</xdr:colOff>
      <xdr:row>107</xdr:row>
      <xdr:rowOff>57150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" y="24393525"/>
          <a:ext cx="18669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6"/>
  <sheetViews>
    <sheetView tabSelected="1" view="pageBreakPreview" zoomScale="70" zoomScaleNormal="110" zoomScaleSheetLayoutView="70" zoomScalePageLayoutView="0" workbookViewId="0" topLeftCell="A1">
      <selection activeCell="A1" sqref="A1"/>
    </sheetView>
  </sheetViews>
  <sheetFormatPr defaultColWidth="11.421875" defaultRowHeight="15"/>
  <cols>
    <col min="1" max="1" width="15.140625" style="0" customWidth="1"/>
    <col min="2" max="10" width="18.7109375" style="0" customWidth="1"/>
    <col min="11" max="11" width="17.28125" style="0" customWidth="1"/>
    <col min="15" max="15" width="6.140625" style="0" customWidth="1"/>
    <col min="16" max="19" width="11.421875" style="0" hidden="1" customWidth="1"/>
  </cols>
  <sheetData>
    <row r="1" spans="2:10" ht="18" customHeight="1">
      <c r="B1" s="194" t="s">
        <v>16</v>
      </c>
      <c r="C1" s="194"/>
      <c r="D1" s="194"/>
      <c r="E1" s="194"/>
      <c r="F1" s="194"/>
      <c r="G1" s="194"/>
      <c r="H1" s="194"/>
      <c r="I1" s="194"/>
      <c r="J1" s="194"/>
    </row>
    <row r="2" spans="1:12" ht="18" customHeight="1">
      <c r="A2" s="7"/>
      <c r="B2" s="7"/>
      <c r="C2" s="4"/>
      <c r="D2" s="4"/>
      <c r="E2" s="196" t="s">
        <v>64</v>
      </c>
      <c r="F2" s="196"/>
      <c r="G2" s="196"/>
      <c r="H2" s="4"/>
      <c r="I2" s="4"/>
      <c r="J2" s="4"/>
      <c r="K2" s="4"/>
      <c r="L2" s="4"/>
    </row>
    <row r="3" spans="1:11" ht="18" customHeight="1">
      <c r="A3" s="7"/>
      <c r="B3" s="5"/>
      <c r="C3" s="6"/>
      <c r="D3" s="7"/>
      <c r="E3" s="195" t="s">
        <v>79</v>
      </c>
      <c r="F3" s="195"/>
      <c r="G3" s="195"/>
      <c r="H3" s="6"/>
      <c r="I3" s="6"/>
      <c r="J3" s="5"/>
      <c r="K3" s="8"/>
    </row>
    <row r="4" spans="1:11" ht="18" customHeight="1">
      <c r="A4" s="7"/>
      <c r="B4" s="5"/>
      <c r="C4" s="5"/>
      <c r="D4" s="7"/>
      <c r="E4" s="9"/>
      <c r="F4" s="9"/>
      <c r="G4" s="9" t="s">
        <v>80</v>
      </c>
      <c r="H4" s="9"/>
      <c r="I4" s="5"/>
      <c r="J4" s="10"/>
      <c r="K4" s="11"/>
    </row>
    <row r="5" spans="1:11" ht="18" customHeight="1">
      <c r="A5" s="7"/>
      <c r="B5" s="5"/>
      <c r="C5" s="5"/>
      <c r="D5" s="12" t="s">
        <v>56</v>
      </c>
      <c r="E5" s="5"/>
      <c r="F5" s="5"/>
      <c r="G5" s="10" t="s">
        <v>78</v>
      </c>
      <c r="H5" s="7"/>
      <c r="I5" s="9"/>
      <c r="J5" s="13"/>
      <c r="K5" s="11"/>
    </row>
    <row r="6" spans="1:11" ht="18" customHeight="1">
      <c r="A6" s="7"/>
      <c r="B6" s="5"/>
      <c r="C6" s="5"/>
      <c r="D6" s="12" t="s">
        <v>83</v>
      </c>
      <c r="E6" s="12"/>
      <c r="F6" s="12"/>
      <c r="G6" s="12" t="s">
        <v>63</v>
      </c>
      <c r="H6" s="7"/>
      <c r="I6" s="14"/>
      <c r="J6" s="14"/>
      <c r="K6" s="11"/>
    </row>
    <row r="7" spans="1:11" ht="18" customHeight="1">
      <c r="A7" s="7"/>
      <c r="B7" s="5"/>
      <c r="C7" s="5"/>
      <c r="D7" s="12" t="s">
        <v>81</v>
      </c>
      <c r="E7" s="12"/>
      <c r="F7" s="12"/>
      <c r="G7" s="12" t="s">
        <v>62</v>
      </c>
      <c r="H7" s="7"/>
      <c r="I7" s="14"/>
      <c r="J7" s="14"/>
      <c r="K7" s="15"/>
    </row>
    <row r="8" spans="1:11" ht="18" customHeight="1">
      <c r="A8" s="7"/>
      <c r="B8" s="16"/>
      <c r="C8" s="17"/>
      <c r="D8" s="5" t="s">
        <v>82</v>
      </c>
      <c r="E8" s="18"/>
      <c r="F8" s="18"/>
      <c r="G8" s="98" t="s">
        <v>137</v>
      </c>
      <c r="H8" s="5"/>
      <c r="I8" s="20"/>
      <c r="J8" s="94"/>
      <c r="K8" s="21"/>
    </row>
    <row r="9" spans="1:11" ht="18" customHeight="1" thickBot="1">
      <c r="A9" s="7"/>
      <c r="B9" s="16"/>
      <c r="C9" s="17"/>
      <c r="D9" s="5"/>
      <c r="E9" s="18"/>
      <c r="F9" s="18"/>
      <c r="G9" s="19"/>
      <c r="H9" s="5"/>
      <c r="I9" s="20"/>
      <c r="J9" s="94"/>
      <c r="K9" s="21"/>
    </row>
    <row r="10" spans="1:11" ht="18" customHeight="1" thickBot="1">
      <c r="A10" s="7"/>
      <c r="B10" s="183" t="s">
        <v>46</v>
      </c>
      <c r="C10" s="184"/>
      <c r="D10" s="184"/>
      <c r="E10" s="185"/>
      <c r="F10" s="22"/>
      <c r="G10" s="183" t="s">
        <v>22</v>
      </c>
      <c r="H10" s="184"/>
      <c r="I10" s="184"/>
      <c r="J10" s="185"/>
      <c r="K10" s="23"/>
    </row>
    <row r="11" spans="1:11" ht="18" customHeight="1">
      <c r="A11" s="7"/>
      <c r="B11" s="24" t="s">
        <v>8</v>
      </c>
      <c r="C11" s="25"/>
      <c r="D11" s="26"/>
      <c r="E11" s="27">
        <v>10000</v>
      </c>
      <c r="F11" s="26"/>
      <c r="G11" s="28" t="s">
        <v>18</v>
      </c>
      <c r="H11" s="26"/>
      <c r="I11" s="26"/>
      <c r="J11" s="29">
        <f>J32+J42+J72</f>
        <v>2311382.833333333</v>
      </c>
      <c r="K11" s="23"/>
    </row>
    <row r="12" spans="1:11" ht="18" customHeight="1">
      <c r="A12" s="7"/>
      <c r="B12" s="30" t="s">
        <v>43</v>
      </c>
      <c r="C12" s="25"/>
      <c r="D12" s="26"/>
      <c r="E12" s="27">
        <v>370</v>
      </c>
      <c r="F12" s="26"/>
      <c r="G12" s="28" t="s">
        <v>19</v>
      </c>
      <c r="H12" s="31"/>
      <c r="I12" s="26"/>
      <c r="J12" s="29">
        <f>J32+J42+J72+J82</f>
        <v>2565634.945</v>
      </c>
      <c r="K12" s="23"/>
    </row>
    <row r="13" spans="1:11" ht="18" customHeight="1">
      <c r="A13" s="7"/>
      <c r="B13" s="30" t="s">
        <v>17</v>
      </c>
      <c r="C13" s="25"/>
      <c r="D13" s="26"/>
      <c r="E13" s="27">
        <v>12000</v>
      </c>
      <c r="F13" s="26"/>
      <c r="G13" s="32" t="s">
        <v>13</v>
      </c>
      <c r="H13" s="33"/>
      <c r="I13" s="33"/>
      <c r="J13" s="34">
        <f>E11*E12</f>
        <v>3700000</v>
      </c>
      <c r="K13" s="23"/>
    </row>
    <row r="14" spans="1:11" ht="18" customHeight="1">
      <c r="A14" s="7"/>
      <c r="B14" s="30" t="s">
        <v>9</v>
      </c>
      <c r="C14" s="35"/>
      <c r="D14" s="26"/>
      <c r="E14" s="36">
        <v>0.01</v>
      </c>
      <c r="F14" s="26"/>
      <c r="G14" s="28" t="s">
        <v>20</v>
      </c>
      <c r="H14" s="26"/>
      <c r="I14" s="26"/>
      <c r="J14" s="29">
        <f>J13-J11</f>
        <v>1388617.166666667</v>
      </c>
      <c r="K14" s="23"/>
    </row>
    <row r="15" spans="1:11" ht="18" customHeight="1">
      <c r="A15" s="7"/>
      <c r="B15" s="30" t="s">
        <v>15</v>
      </c>
      <c r="C15" s="35"/>
      <c r="D15" s="26"/>
      <c r="E15" s="37">
        <v>0.5</v>
      </c>
      <c r="F15" s="26"/>
      <c r="G15" s="28" t="s">
        <v>21</v>
      </c>
      <c r="H15" s="26"/>
      <c r="I15" s="26"/>
      <c r="J15" s="29">
        <f>J13-J12</f>
        <v>1134365.0550000002</v>
      </c>
      <c r="K15" s="23"/>
    </row>
    <row r="16" spans="1:11" ht="18" customHeight="1" thickBot="1">
      <c r="A16" s="7"/>
      <c r="B16" s="38" t="s">
        <v>10</v>
      </c>
      <c r="C16" s="39"/>
      <c r="D16" s="40"/>
      <c r="E16" s="41">
        <v>12</v>
      </c>
      <c r="F16" s="5"/>
      <c r="G16" s="42"/>
      <c r="H16" s="40"/>
      <c r="I16" s="43"/>
      <c r="J16" s="44"/>
      <c r="K16" s="23"/>
    </row>
    <row r="17" spans="1:11" ht="18" customHeight="1" thickBot="1">
      <c r="A17" s="7"/>
      <c r="B17" s="16"/>
      <c r="C17" s="17"/>
      <c r="D17" s="17"/>
      <c r="E17" s="18"/>
      <c r="F17" s="18"/>
      <c r="G17" s="19"/>
      <c r="H17" s="9"/>
      <c r="I17" s="20"/>
      <c r="J17" s="45"/>
      <c r="K17" s="23"/>
    </row>
    <row r="18" spans="1:12" ht="18" customHeight="1">
      <c r="A18" s="7"/>
      <c r="B18" s="199" t="s">
        <v>32</v>
      </c>
      <c r="C18" s="200"/>
      <c r="D18" s="200"/>
      <c r="E18" s="200" t="s">
        <v>23</v>
      </c>
      <c r="F18" s="200"/>
      <c r="G18" s="186" t="s">
        <v>24</v>
      </c>
      <c r="H18" s="188" t="s">
        <v>25</v>
      </c>
      <c r="I18" s="190" t="s">
        <v>26</v>
      </c>
      <c r="J18" s="192" t="s">
        <v>6</v>
      </c>
      <c r="K18" s="23"/>
      <c r="L18" s="1"/>
    </row>
    <row r="19" spans="1:12" ht="18" customHeight="1" thickBot="1">
      <c r="A19" s="7"/>
      <c r="B19" s="201"/>
      <c r="C19" s="202"/>
      <c r="D19" s="202"/>
      <c r="E19" s="202"/>
      <c r="F19" s="202"/>
      <c r="G19" s="187"/>
      <c r="H19" s="189"/>
      <c r="I19" s="191"/>
      <c r="J19" s="193"/>
      <c r="K19" s="23"/>
      <c r="L19" s="1"/>
    </row>
    <row r="20" spans="1:12" ht="18" customHeight="1">
      <c r="A20" s="7"/>
      <c r="B20" s="46"/>
      <c r="C20" s="46"/>
      <c r="D20" s="46"/>
      <c r="E20" s="46"/>
      <c r="F20" s="46"/>
      <c r="G20" s="47"/>
      <c r="H20" s="48"/>
      <c r="I20" s="49"/>
      <c r="J20" s="49"/>
      <c r="K20" s="23"/>
      <c r="L20" s="1"/>
    </row>
    <row r="21" spans="1:12" ht="18" customHeight="1">
      <c r="A21" s="7"/>
      <c r="B21" s="46" t="s">
        <v>27</v>
      </c>
      <c r="C21" s="46"/>
      <c r="D21" s="46"/>
      <c r="E21" s="46"/>
      <c r="F21" s="46"/>
      <c r="G21" s="47"/>
      <c r="H21" s="48"/>
      <c r="I21" s="49"/>
      <c r="J21" s="49"/>
      <c r="K21" s="23"/>
      <c r="L21" s="1"/>
    </row>
    <row r="22" spans="1:13" ht="18" customHeight="1">
      <c r="A22" s="7"/>
      <c r="B22" s="197" t="s">
        <v>48</v>
      </c>
      <c r="C22" s="198"/>
      <c r="D22" s="198"/>
      <c r="E22" s="181" t="s">
        <v>84</v>
      </c>
      <c r="F22" s="182"/>
      <c r="G22" s="82">
        <v>5</v>
      </c>
      <c r="H22" s="82" t="s">
        <v>11</v>
      </c>
      <c r="I22" s="100">
        <v>12000</v>
      </c>
      <c r="J22" s="50">
        <f>G22*I22</f>
        <v>60000</v>
      </c>
      <c r="K22" s="23"/>
      <c r="L22" s="1"/>
      <c r="M22" s="73"/>
    </row>
    <row r="23" spans="1:13" ht="18" customHeight="1">
      <c r="A23" s="7"/>
      <c r="B23" s="177" t="s">
        <v>49</v>
      </c>
      <c r="C23" s="178"/>
      <c r="D23" s="179"/>
      <c r="E23" s="173" t="s">
        <v>85</v>
      </c>
      <c r="F23" s="174"/>
      <c r="G23" s="74">
        <v>3</v>
      </c>
      <c r="H23" s="74" t="s">
        <v>11</v>
      </c>
      <c r="I23" s="101">
        <v>12000</v>
      </c>
      <c r="J23" s="51">
        <f aca="true" t="shared" si="0" ref="J23:J31">G23*I23</f>
        <v>36000</v>
      </c>
      <c r="K23" s="23"/>
      <c r="L23" s="1"/>
      <c r="M23" s="73"/>
    </row>
    <row r="24" spans="1:12" ht="18" customHeight="1">
      <c r="A24" s="7"/>
      <c r="B24" s="177" t="s">
        <v>44</v>
      </c>
      <c r="C24" s="178"/>
      <c r="D24" s="179"/>
      <c r="E24" s="173" t="s">
        <v>86</v>
      </c>
      <c r="F24" s="174"/>
      <c r="G24" s="74">
        <v>2</v>
      </c>
      <c r="H24" s="74" t="s">
        <v>11</v>
      </c>
      <c r="I24" s="101">
        <v>12000</v>
      </c>
      <c r="J24" s="51">
        <f t="shared" si="0"/>
        <v>24000</v>
      </c>
      <c r="K24" s="23"/>
      <c r="L24" s="1"/>
    </row>
    <row r="25" spans="1:12" ht="18" customHeight="1">
      <c r="A25" s="7"/>
      <c r="B25" s="96" t="s">
        <v>57</v>
      </c>
      <c r="C25" s="97"/>
      <c r="D25" s="97"/>
      <c r="E25" s="173" t="s">
        <v>87</v>
      </c>
      <c r="F25" s="174"/>
      <c r="G25" s="83">
        <v>400</v>
      </c>
      <c r="H25" s="83" t="s">
        <v>58</v>
      </c>
      <c r="I25" s="101">
        <v>350</v>
      </c>
      <c r="J25" s="51">
        <f t="shared" si="0"/>
        <v>140000</v>
      </c>
      <c r="K25" s="23"/>
      <c r="L25" s="1"/>
    </row>
    <row r="26" spans="1:12" ht="18" customHeight="1">
      <c r="A26" s="7"/>
      <c r="B26" s="96" t="s">
        <v>59</v>
      </c>
      <c r="C26" s="97"/>
      <c r="D26" s="97"/>
      <c r="E26" s="173" t="s">
        <v>129</v>
      </c>
      <c r="F26" s="174"/>
      <c r="G26" s="83">
        <v>3</v>
      </c>
      <c r="H26" s="83" t="s">
        <v>11</v>
      </c>
      <c r="I26" s="101">
        <v>12000</v>
      </c>
      <c r="J26" s="51">
        <f t="shared" si="0"/>
        <v>36000</v>
      </c>
      <c r="K26" s="23"/>
      <c r="L26" s="1"/>
    </row>
    <row r="27" spans="1:12" ht="18" customHeight="1">
      <c r="A27" s="7"/>
      <c r="B27" s="177" t="s">
        <v>50</v>
      </c>
      <c r="C27" s="178"/>
      <c r="D27" s="179"/>
      <c r="E27" s="173" t="s">
        <v>88</v>
      </c>
      <c r="F27" s="174"/>
      <c r="G27" s="74">
        <v>30000</v>
      </c>
      <c r="H27" s="74" t="s">
        <v>12</v>
      </c>
      <c r="I27" s="101">
        <v>20</v>
      </c>
      <c r="J27" s="51">
        <f t="shared" si="0"/>
        <v>600000</v>
      </c>
      <c r="K27" s="23"/>
      <c r="L27" s="1"/>
    </row>
    <row r="28" spans="1:12" ht="18" customHeight="1">
      <c r="A28" s="7"/>
      <c r="B28" s="96" t="s">
        <v>65</v>
      </c>
      <c r="C28" s="97"/>
      <c r="D28" s="97"/>
      <c r="E28" s="173" t="s">
        <v>88</v>
      </c>
      <c r="F28" s="174"/>
      <c r="G28" s="83">
        <v>3</v>
      </c>
      <c r="H28" s="83" t="s">
        <v>11</v>
      </c>
      <c r="I28" s="101">
        <v>12000</v>
      </c>
      <c r="J28" s="51">
        <f t="shared" si="0"/>
        <v>36000</v>
      </c>
      <c r="K28" s="23"/>
      <c r="L28" s="1"/>
    </row>
    <row r="29" spans="1:12" ht="18" customHeight="1">
      <c r="A29" s="7"/>
      <c r="B29" s="96" t="s">
        <v>66</v>
      </c>
      <c r="C29" s="97"/>
      <c r="D29" s="97"/>
      <c r="E29" s="173" t="s">
        <v>67</v>
      </c>
      <c r="F29" s="174"/>
      <c r="G29" s="83">
        <v>10</v>
      </c>
      <c r="H29" s="83" t="s">
        <v>11</v>
      </c>
      <c r="I29" s="101">
        <v>12000</v>
      </c>
      <c r="J29" s="51">
        <f t="shared" si="0"/>
        <v>120000</v>
      </c>
      <c r="K29" s="23"/>
      <c r="L29" s="1"/>
    </row>
    <row r="30" spans="1:12" ht="18" customHeight="1">
      <c r="A30" s="7"/>
      <c r="B30" s="96" t="s">
        <v>68</v>
      </c>
      <c r="C30" s="97"/>
      <c r="D30" s="97"/>
      <c r="E30" s="173" t="s">
        <v>69</v>
      </c>
      <c r="F30" s="174"/>
      <c r="G30" s="83">
        <v>4</v>
      </c>
      <c r="H30" s="83" t="s">
        <v>11</v>
      </c>
      <c r="I30" s="101">
        <v>12000</v>
      </c>
      <c r="J30" s="51">
        <f t="shared" si="0"/>
        <v>48000</v>
      </c>
      <c r="K30" s="23"/>
      <c r="L30" s="1"/>
    </row>
    <row r="31" spans="1:12" ht="18" customHeight="1">
      <c r="A31" s="7"/>
      <c r="B31" s="177" t="s">
        <v>70</v>
      </c>
      <c r="C31" s="178"/>
      <c r="D31" s="179"/>
      <c r="E31" s="175" t="s">
        <v>71</v>
      </c>
      <c r="F31" s="176"/>
      <c r="G31" s="74">
        <v>4</v>
      </c>
      <c r="H31" s="74" t="s">
        <v>11</v>
      </c>
      <c r="I31" s="101">
        <v>12000</v>
      </c>
      <c r="J31" s="91">
        <f t="shared" si="0"/>
        <v>48000</v>
      </c>
      <c r="K31" s="23"/>
      <c r="L31" s="1"/>
    </row>
    <row r="32" spans="1:12" ht="18" customHeight="1">
      <c r="A32" s="7"/>
      <c r="B32" s="161" t="s">
        <v>28</v>
      </c>
      <c r="C32" s="162"/>
      <c r="D32" s="162"/>
      <c r="E32" s="162"/>
      <c r="F32" s="162"/>
      <c r="G32" s="162"/>
      <c r="H32" s="162"/>
      <c r="I32" s="162"/>
      <c r="J32" s="102">
        <f>SUM(J22:J31)</f>
        <v>1148000</v>
      </c>
      <c r="K32" s="23"/>
      <c r="L32" s="1"/>
    </row>
    <row r="33" spans="1:12" s="2" customFormat="1" ht="18" customHeight="1">
      <c r="A33" s="53"/>
      <c r="B33" s="46"/>
      <c r="C33" s="46"/>
      <c r="D33" s="46"/>
      <c r="E33" s="46"/>
      <c r="F33" s="46"/>
      <c r="G33" s="47"/>
      <c r="H33" s="48"/>
      <c r="I33" s="49"/>
      <c r="J33" s="49"/>
      <c r="K33" s="23"/>
      <c r="L33" s="1"/>
    </row>
    <row r="34" spans="1:12" s="3" customFormat="1" ht="18" customHeight="1">
      <c r="A34" s="55"/>
      <c r="B34" s="46" t="s">
        <v>29</v>
      </c>
      <c r="C34" s="46"/>
      <c r="D34" s="46"/>
      <c r="E34" s="46"/>
      <c r="F34" s="46"/>
      <c r="G34" s="47"/>
      <c r="H34" s="48"/>
      <c r="I34" s="49"/>
      <c r="J34" s="49"/>
      <c r="K34" s="23"/>
      <c r="L34" s="1"/>
    </row>
    <row r="35" spans="1:12" ht="18" customHeight="1">
      <c r="A35" s="7"/>
      <c r="B35" s="103" t="s">
        <v>89</v>
      </c>
      <c r="C35" s="104"/>
      <c r="D35" s="104"/>
      <c r="E35" s="181" t="s">
        <v>87</v>
      </c>
      <c r="F35" s="182"/>
      <c r="G35" s="105">
        <v>1</v>
      </c>
      <c r="H35" s="106" t="s">
        <v>47</v>
      </c>
      <c r="I35" s="50">
        <v>40000</v>
      </c>
      <c r="J35" s="107">
        <f>G35*I35</f>
        <v>40000</v>
      </c>
      <c r="K35" s="23"/>
      <c r="L35" s="1"/>
    </row>
    <row r="36" spans="1:12" ht="18" customHeight="1">
      <c r="A36" s="7"/>
      <c r="B36" s="177" t="s">
        <v>52</v>
      </c>
      <c r="C36" s="178"/>
      <c r="D36" s="179"/>
      <c r="E36" s="173" t="s">
        <v>90</v>
      </c>
      <c r="F36" s="174"/>
      <c r="G36" s="85">
        <v>1</v>
      </c>
      <c r="H36" s="74" t="s">
        <v>47</v>
      </c>
      <c r="I36" s="51">
        <v>15000</v>
      </c>
      <c r="J36" s="75">
        <f aca="true" t="shared" si="1" ref="J36:J41">G36*I36</f>
        <v>15000</v>
      </c>
      <c r="K36" s="23"/>
      <c r="L36" s="1"/>
    </row>
    <row r="37" spans="1:12" ht="18" customHeight="1">
      <c r="A37" s="7"/>
      <c r="B37" s="177" t="s">
        <v>75</v>
      </c>
      <c r="C37" s="178"/>
      <c r="D37" s="179"/>
      <c r="E37" s="173" t="s">
        <v>91</v>
      </c>
      <c r="F37" s="174"/>
      <c r="G37" s="85">
        <v>1</v>
      </c>
      <c r="H37" s="74" t="s">
        <v>47</v>
      </c>
      <c r="I37" s="51">
        <v>80000</v>
      </c>
      <c r="J37" s="75">
        <f t="shared" si="1"/>
        <v>80000</v>
      </c>
      <c r="K37" s="23"/>
      <c r="L37" s="1"/>
    </row>
    <row r="38" spans="1:12" ht="18" customHeight="1">
      <c r="A38" s="7"/>
      <c r="B38" s="177" t="s">
        <v>53</v>
      </c>
      <c r="C38" s="178"/>
      <c r="D38" s="179"/>
      <c r="E38" s="173" t="s">
        <v>92</v>
      </c>
      <c r="F38" s="174"/>
      <c r="G38" s="85">
        <v>5</v>
      </c>
      <c r="H38" s="74" t="s">
        <v>47</v>
      </c>
      <c r="I38" s="51">
        <v>35000</v>
      </c>
      <c r="J38" s="75">
        <f t="shared" si="1"/>
        <v>175000</v>
      </c>
      <c r="K38" s="23"/>
      <c r="L38" s="1"/>
    </row>
    <row r="39" spans="1:12" ht="18" customHeight="1">
      <c r="A39" s="7"/>
      <c r="B39" s="177" t="s">
        <v>108</v>
      </c>
      <c r="C39" s="178"/>
      <c r="D39" s="179"/>
      <c r="E39" s="173" t="s">
        <v>74</v>
      </c>
      <c r="F39" s="174"/>
      <c r="G39" s="85">
        <v>3</v>
      </c>
      <c r="H39" s="74" t="s">
        <v>47</v>
      </c>
      <c r="I39" s="51">
        <v>20000</v>
      </c>
      <c r="J39" s="75">
        <f t="shared" si="1"/>
        <v>60000</v>
      </c>
      <c r="K39" s="23"/>
      <c r="L39" s="1"/>
    </row>
    <row r="40" spans="1:12" ht="18" customHeight="1">
      <c r="A40" s="7"/>
      <c r="B40" s="177" t="s">
        <v>72</v>
      </c>
      <c r="C40" s="178"/>
      <c r="D40" s="179"/>
      <c r="E40" s="173" t="s">
        <v>74</v>
      </c>
      <c r="F40" s="174"/>
      <c r="G40" s="85">
        <v>30000</v>
      </c>
      <c r="H40" s="74" t="s">
        <v>12</v>
      </c>
      <c r="I40" s="51">
        <v>4</v>
      </c>
      <c r="J40" s="75">
        <f t="shared" si="1"/>
        <v>120000</v>
      </c>
      <c r="K40" s="23"/>
      <c r="L40" s="1"/>
    </row>
    <row r="41" spans="1:12" ht="18" customHeight="1">
      <c r="A41" s="7"/>
      <c r="B41" s="203" t="s">
        <v>73</v>
      </c>
      <c r="C41" s="204"/>
      <c r="D41" s="204"/>
      <c r="E41" s="175" t="s">
        <v>91</v>
      </c>
      <c r="F41" s="176"/>
      <c r="G41" s="89">
        <v>10000</v>
      </c>
      <c r="H41" s="90" t="s">
        <v>12</v>
      </c>
      <c r="I41" s="91">
        <v>4</v>
      </c>
      <c r="J41" s="108">
        <f t="shared" si="1"/>
        <v>40000</v>
      </c>
      <c r="K41" s="23"/>
      <c r="L41" s="1"/>
    </row>
    <row r="42" spans="1:12" ht="18" customHeight="1">
      <c r="A42" s="7"/>
      <c r="B42" s="161" t="s">
        <v>30</v>
      </c>
      <c r="C42" s="162"/>
      <c r="D42" s="162"/>
      <c r="E42" s="162"/>
      <c r="F42" s="162"/>
      <c r="G42" s="162"/>
      <c r="H42" s="162"/>
      <c r="I42" s="162"/>
      <c r="J42" s="52">
        <f>SUM(J35:J41)</f>
        <v>530000</v>
      </c>
      <c r="K42" s="23"/>
      <c r="L42" s="1"/>
    </row>
    <row r="43" spans="1:12" s="2" customFormat="1" ht="18" customHeight="1">
      <c r="A43" s="53"/>
      <c r="B43" s="46"/>
      <c r="C43" s="46"/>
      <c r="D43" s="46"/>
      <c r="E43" s="46"/>
      <c r="F43" s="46"/>
      <c r="G43" s="47"/>
      <c r="H43" s="48"/>
      <c r="I43" s="49"/>
      <c r="J43" s="49"/>
      <c r="K43" s="23"/>
      <c r="L43" s="1"/>
    </row>
    <row r="44" spans="1:12" ht="18" customHeight="1">
      <c r="A44" s="7"/>
      <c r="B44" s="46" t="s">
        <v>31</v>
      </c>
      <c r="C44" s="46"/>
      <c r="D44" s="46"/>
      <c r="E44" s="46"/>
      <c r="F44" s="46"/>
      <c r="G44" s="47"/>
      <c r="H44" s="48"/>
      <c r="I44" s="49"/>
      <c r="J44" s="49"/>
      <c r="K44" s="23"/>
      <c r="L44" s="1"/>
    </row>
    <row r="45" spans="1:12" ht="18" customHeight="1">
      <c r="A45" s="7"/>
      <c r="B45" s="130" t="s">
        <v>110</v>
      </c>
      <c r="C45" s="131"/>
      <c r="D45" s="131"/>
      <c r="E45" s="181"/>
      <c r="F45" s="182"/>
      <c r="G45" s="109"/>
      <c r="H45" s="110"/>
      <c r="I45" s="79"/>
      <c r="J45" s="56"/>
      <c r="K45" s="23"/>
      <c r="L45" s="1"/>
    </row>
    <row r="46" spans="1:12" ht="18" customHeight="1">
      <c r="A46" s="7"/>
      <c r="B46" s="132" t="s">
        <v>111</v>
      </c>
      <c r="C46" s="133"/>
      <c r="D46" s="134"/>
      <c r="E46" s="173" t="s">
        <v>91</v>
      </c>
      <c r="F46" s="174"/>
      <c r="G46" s="83">
        <v>300</v>
      </c>
      <c r="H46" s="86" t="s">
        <v>12</v>
      </c>
      <c r="I46" s="80">
        <v>235</v>
      </c>
      <c r="J46" s="57">
        <f>G46*I46</f>
        <v>70500</v>
      </c>
      <c r="K46" s="23"/>
      <c r="L46" s="1"/>
    </row>
    <row r="47" spans="1:12" ht="18" customHeight="1">
      <c r="A47" s="7"/>
      <c r="B47" s="132" t="s">
        <v>112</v>
      </c>
      <c r="C47" s="133"/>
      <c r="D47" s="134"/>
      <c r="E47" s="173" t="s">
        <v>93</v>
      </c>
      <c r="F47" s="174"/>
      <c r="G47" s="83">
        <v>150</v>
      </c>
      <c r="H47" s="86" t="s">
        <v>12</v>
      </c>
      <c r="I47" s="80">
        <v>330</v>
      </c>
      <c r="J47" s="57">
        <f aca="true" t="shared" si="2" ref="J47:J71">G47*I47</f>
        <v>49500</v>
      </c>
      <c r="K47" s="23"/>
      <c r="L47" s="1"/>
    </row>
    <row r="48" spans="1:12" ht="18" customHeight="1">
      <c r="A48" s="7"/>
      <c r="B48" s="132"/>
      <c r="C48" s="133"/>
      <c r="D48" s="134"/>
      <c r="E48" s="173"/>
      <c r="F48" s="174"/>
      <c r="G48" s="83"/>
      <c r="H48" s="86"/>
      <c r="I48" s="80"/>
      <c r="J48" s="57"/>
      <c r="K48" s="23"/>
      <c r="L48" s="1"/>
    </row>
    <row r="49" spans="1:12" ht="18" customHeight="1">
      <c r="A49" s="7"/>
      <c r="B49" s="135" t="s">
        <v>113</v>
      </c>
      <c r="C49" s="136"/>
      <c r="D49" s="137"/>
      <c r="E49" s="173"/>
      <c r="F49" s="174"/>
      <c r="G49" s="84"/>
      <c r="H49" s="87"/>
      <c r="I49" s="81"/>
      <c r="J49" s="57"/>
      <c r="K49" s="23"/>
      <c r="L49" s="1"/>
    </row>
    <row r="50" spans="1:12" ht="18" customHeight="1">
      <c r="A50" s="7"/>
      <c r="B50" s="124" t="s">
        <v>114</v>
      </c>
      <c r="C50" s="125"/>
      <c r="D50" s="126"/>
      <c r="E50" s="173" t="s">
        <v>94</v>
      </c>
      <c r="F50" s="174"/>
      <c r="G50" s="83">
        <v>20</v>
      </c>
      <c r="H50" s="86" t="s">
        <v>12</v>
      </c>
      <c r="I50" s="80">
        <v>5100</v>
      </c>
      <c r="J50" s="57">
        <f t="shared" si="2"/>
        <v>102000</v>
      </c>
      <c r="K50" s="23"/>
      <c r="L50" s="1"/>
    </row>
    <row r="51" spans="1:12" ht="18" customHeight="1">
      <c r="A51" s="7"/>
      <c r="B51" s="124" t="s">
        <v>115</v>
      </c>
      <c r="C51" s="125"/>
      <c r="D51" s="126"/>
      <c r="E51" s="173" t="s">
        <v>95</v>
      </c>
      <c r="F51" s="174"/>
      <c r="G51" s="83">
        <v>6</v>
      </c>
      <c r="H51" s="86" t="s">
        <v>61</v>
      </c>
      <c r="I51" s="80">
        <v>8939</v>
      </c>
      <c r="J51" s="57">
        <f t="shared" si="2"/>
        <v>53634</v>
      </c>
      <c r="K51" s="23"/>
      <c r="L51" s="1"/>
    </row>
    <row r="52" spans="1:12" ht="18" customHeight="1">
      <c r="A52" s="7"/>
      <c r="B52" s="124" t="s">
        <v>116</v>
      </c>
      <c r="C52" s="125"/>
      <c r="D52" s="126"/>
      <c r="E52" s="173" t="s">
        <v>96</v>
      </c>
      <c r="F52" s="174"/>
      <c r="G52" s="83">
        <v>8</v>
      </c>
      <c r="H52" s="86" t="s">
        <v>61</v>
      </c>
      <c r="I52" s="80">
        <v>1237</v>
      </c>
      <c r="J52" s="57">
        <f t="shared" si="2"/>
        <v>9896</v>
      </c>
      <c r="K52" s="23"/>
      <c r="L52" s="1"/>
    </row>
    <row r="53" spans="1:12" ht="18" customHeight="1">
      <c r="A53" s="7"/>
      <c r="B53" s="124" t="s">
        <v>117</v>
      </c>
      <c r="C53" s="128"/>
      <c r="D53" s="129"/>
      <c r="E53" s="173" t="s">
        <v>87</v>
      </c>
      <c r="F53" s="174"/>
      <c r="G53" s="83">
        <v>4</v>
      </c>
      <c r="H53" s="86" t="s">
        <v>61</v>
      </c>
      <c r="I53" s="80">
        <v>1800</v>
      </c>
      <c r="J53" s="57">
        <f t="shared" si="2"/>
        <v>7200</v>
      </c>
      <c r="K53" s="23"/>
      <c r="L53" s="1"/>
    </row>
    <row r="54" spans="1:12" ht="18" customHeight="1">
      <c r="A54" s="7"/>
      <c r="B54" s="124"/>
      <c r="C54" s="125"/>
      <c r="D54" s="126"/>
      <c r="E54" s="173"/>
      <c r="F54" s="174"/>
      <c r="G54" s="83"/>
      <c r="H54" s="86"/>
      <c r="I54" s="80"/>
      <c r="J54" s="57"/>
      <c r="K54" s="23"/>
      <c r="L54" s="1"/>
    </row>
    <row r="55" spans="1:12" ht="18" customHeight="1">
      <c r="A55" s="7"/>
      <c r="B55" s="127" t="s">
        <v>118</v>
      </c>
      <c r="C55" s="125"/>
      <c r="D55" s="126"/>
      <c r="E55" s="173"/>
      <c r="F55" s="174"/>
      <c r="G55" s="83"/>
      <c r="H55" s="86"/>
      <c r="I55" s="80"/>
      <c r="J55" s="57"/>
      <c r="K55" s="23"/>
      <c r="L55" s="1"/>
    </row>
    <row r="56" spans="1:12" ht="18" customHeight="1">
      <c r="A56" s="7"/>
      <c r="B56" s="124" t="s">
        <v>119</v>
      </c>
      <c r="C56" s="125"/>
      <c r="D56" s="126"/>
      <c r="E56" s="173" t="s">
        <v>97</v>
      </c>
      <c r="F56" s="174"/>
      <c r="G56" s="83">
        <v>4</v>
      </c>
      <c r="H56" s="86" t="s">
        <v>61</v>
      </c>
      <c r="I56" s="80">
        <v>5348</v>
      </c>
      <c r="J56" s="57">
        <f t="shared" si="2"/>
        <v>21392</v>
      </c>
      <c r="K56" s="23"/>
      <c r="L56" s="1"/>
    </row>
    <row r="57" spans="1:12" ht="18" customHeight="1">
      <c r="A57" s="7"/>
      <c r="B57" s="127"/>
      <c r="C57" s="125"/>
      <c r="D57" s="126"/>
      <c r="E57" s="173"/>
      <c r="F57" s="174"/>
      <c r="G57" s="83"/>
      <c r="H57" s="86"/>
      <c r="I57" s="80"/>
      <c r="J57" s="57"/>
      <c r="K57" s="23"/>
      <c r="L57" s="1"/>
    </row>
    <row r="58" spans="1:12" ht="18" customHeight="1">
      <c r="A58" s="7"/>
      <c r="B58" s="127" t="s">
        <v>120</v>
      </c>
      <c r="C58" s="125"/>
      <c r="D58" s="125"/>
      <c r="E58" s="173"/>
      <c r="F58" s="174"/>
      <c r="G58" s="83"/>
      <c r="H58" s="86"/>
      <c r="I58" s="80"/>
      <c r="J58" s="57"/>
      <c r="K58" s="23"/>
      <c r="L58" s="1"/>
    </row>
    <row r="59" spans="1:12" ht="18" customHeight="1">
      <c r="A59" s="7"/>
      <c r="B59" s="124" t="s">
        <v>121</v>
      </c>
      <c r="C59" s="125"/>
      <c r="D59" s="125"/>
      <c r="E59" s="173" t="s">
        <v>60</v>
      </c>
      <c r="F59" s="174"/>
      <c r="G59" s="83">
        <v>3</v>
      </c>
      <c r="H59" s="86" t="s">
        <v>61</v>
      </c>
      <c r="I59" s="80">
        <v>5348</v>
      </c>
      <c r="J59" s="57">
        <f t="shared" si="2"/>
        <v>16044</v>
      </c>
      <c r="K59" s="23"/>
      <c r="L59" s="1"/>
    </row>
    <row r="60" spans="1:12" ht="18" customHeight="1">
      <c r="A60" s="7"/>
      <c r="B60" s="124" t="s">
        <v>122</v>
      </c>
      <c r="C60" s="125"/>
      <c r="D60" s="125"/>
      <c r="E60" s="173" t="s">
        <v>95</v>
      </c>
      <c r="F60" s="174"/>
      <c r="G60" s="83">
        <v>0.5</v>
      </c>
      <c r="H60" s="86" t="s">
        <v>61</v>
      </c>
      <c r="I60" s="80">
        <v>33151</v>
      </c>
      <c r="J60" s="57">
        <f t="shared" si="2"/>
        <v>16575.5</v>
      </c>
      <c r="K60" s="23"/>
      <c r="L60" s="1"/>
    </row>
    <row r="61" spans="1:12" ht="18" customHeight="1">
      <c r="A61" s="7"/>
      <c r="B61" s="124"/>
      <c r="C61" s="125"/>
      <c r="D61" s="125"/>
      <c r="E61" s="173"/>
      <c r="F61" s="174"/>
      <c r="G61" s="83"/>
      <c r="H61" s="86"/>
      <c r="I61" s="80"/>
      <c r="J61" s="57"/>
      <c r="K61" s="23"/>
      <c r="L61" s="1"/>
    </row>
    <row r="62" spans="1:12" ht="18" customHeight="1">
      <c r="A62" s="7"/>
      <c r="B62" s="127" t="s">
        <v>76</v>
      </c>
      <c r="C62" s="128"/>
      <c r="D62" s="125"/>
      <c r="E62" s="173"/>
      <c r="F62" s="174"/>
      <c r="G62" s="83"/>
      <c r="H62" s="86"/>
      <c r="I62" s="80"/>
      <c r="J62" s="57"/>
      <c r="K62" s="23"/>
      <c r="L62" s="1"/>
    </row>
    <row r="63" spans="1:12" ht="18" customHeight="1">
      <c r="A63" s="7"/>
      <c r="B63" s="124" t="s">
        <v>123</v>
      </c>
      <c r="C63" s="128"/>
      <c r="D63" s="125"/>
      <c r="E63" s="173" t="s">
        <v>98</v>
      </c>
      <c r="F63" s="174"/>
      <c r="G63" s="83">
        <v>2</v>
      </c>
      <c r="H63" s="86" t="s">
        <v>61</v>
      </c>
      <c r="I63" s="80">
        <v>23296</v>
      </c>
      <c r="J63" s="57">
        <f t="shared" si="2"/>
        <v>46592</v>
      </c>
      <c r="K63" s="23"/>
      <c r="L63" s="1"/>
    </row>
    <row r="64" spans="1:12" ht="18" customHeight="1">
      <c r="A64" s="7"/>
      <c r="B64" s="124" t="s">
        <v>124</v>
      </c>
      <c r="C64" s="125"/>
      <c r="D64" s="125"/>
      <c r="E64" s="173" t="s">
        <v>99</v>
      </c>
      <c r="F64" s="174"/>
      <c r="G64" s="83">
        <v>6</v>
      </c>
      <c r="H64" s="86" t="s">
        <v>61</v>
      </c>
      <c r="I64" s="80">
        <v>7876</v>
      </c>
      <c r="J64" s="57">
        <f t="shared" si="2"/>
        <v>47256</v>
      </c>
      <c r="K64" s="23"/>
      <c r="L64" s="1"/>
    </row>
    <row r="65" spans="1:12" ht="18" customHeight="1">
      <c r="A65" s="7"/>
      <c r="B65" s="124" t="s">
        <v>125</v>
      </c>
      <c r="C65" s="125"/>
      <c r="D65" s="125"/>
      <c r="E65" s="173" t="s">
        <v>95</v>
      </c>
      <c r="F65" s="174"/>
      <c r="G65" s="83">
        <v>4</v>
      </c>
      <c r="H65" s="86" t="s">
        <v>61</v>
      </c>
      <c r="I65" s="80">
        <v>6870</v>
      </c>
      <c r="J65" s="57">
        <f t="shared" si="2"/>
        <v>27480</v>
      </c>
      <c r="K65" s="23"/>
      <c r="L65" s="1"/>
    </row>
    <row r="66" spans="1:12" ht="18" customHeight="1">
      <c r="A66" s="7"/>
      <c r="B66" s="124"/>
      <c r="C66" s="125"/>
      <c r="D66" s="125"/>
      <c r="E66" s="173"/>
      <c r="F66" s="174"/>
      <c r="G66" s="83"/>
      <c r="H66" s="86"/>
      <c r="I66" s="80"/>
      <c r="J66" s="57"/>
      <c r="K66" s="23"/>
      <c r="L66" s="1"/>
    </row>
    <row r="67" spans="1:12" ht="18" customHeight="1">
      <c r="A67" s="7"/>
      <c r="B67" s="127" t="s">
        <v>126</v>
      </c>
      <c r="C67" s="128"/>
      <c r="D67" s="129"/>
      <c r="E67" s="173"/>
      <c r="F67" s="174"/>
      <c r="G67" s="83"/>
      <c r="H67" s="86"/>
      <c r="I67" s="80"/>
      <c r="J67" s="57"/>
      <c r="K67" s="23"/>
      <c r="L67" s="1"/>
    </row>
    <row r="68" spans="1:12" ht="18" customHeight="1">
      <c r="A68" s="7"/>
      <c r="B68" s="124" t="s">
        <v>135</v>
      </c>
      <c r="C68" s="128"/>
      <c r="D68" s="123"/>
      <c r="E68" s="173" t="s">
        <v>88</v>
      </c>
      <c r="F68" s="174"/>
      <c r="G68" s="83">
        <v>10</v>
      </c>
      <c r="H68" s="86" t="s">
        <v>58</v>
      </c>
      <c r="I68" s="80">
        <v>10000</v>
      </c>
      <c r="J68" s="57">
        <f>(G68*I68)/3</f>
        <v>33333.333333333336</v>
      </c>
      <c r="K68" s="23"/>
      <c r="L68" s="1"/>
    </row>
    <row r="69" spans="1:12" ht="18" customHeight="1">
      <c r="A69" s="7"/>
      <c r="B69" s="124" t="s">
        <v>130</v>
      </c>
      <c r="C69" s="120"/>
      <c r="D69" s="121"/>
      <c r="E69" s="173" t="s">
        <v>88</v>
      </c>
      <c r="F69" s="174"/>
      <c r="G69" s="83">
        <v>150</v>
      </c>
      <c r="H69" s="86" t="s">
        <v>131</v>
      </c>
      <c r="I69" s="80">
        <v>1666</v>
      </c>
      <c r="J69" s="57">
        <f>(G69*I69)/5</f>
        <v>49980</v>
      </c>
      <c r="K69" s="23"/>
      <c r="L69" s="1"/>
    </row>
    <row r="70" spans="1:12" ht="18" customHeight="1">
      <c r="A70" s="7"/>
      <c r="B70" s="124" t="s">
        <v>127</v>
      </c>
      <c r="C70" s="125"/>
      <c r="D70" s="126"/>
      <c r="E70" s="173" t="s">
        <v>88</v>
      </c>
      <c r="F70" s="174"/>
      <c r="G70" s="83">
        <v>1</v>
      </c>
      <c r="H70" s="86" t="s">
        <v>47</v>
      </c>
      <c r="I70" s="80">
        <v>60000</v>
      </c>
      <c r="J70" s="57">
        <f t="shared" si="2"/>
        <v>60000</v>
      </c>
      <c r="K70" s="23"/>
      <c r="L70" s="1"/>
    </row>
    <row r="71" spans="1:12" ht="18" customHeight="1">
      <c r="A71" s="7"/>
      <c r="B71" s="124" t="s">
        <v>128</v>
      </c>
      <c r="C71" s="125"/>
      <c r="D71" s="126"/>
      <c r="E71" s="175" t="s">
        <v>88</v>
      </c>
      <c r="F71" s="176"/>
      <c r="G71" s="83">
        <v>1</v>
      </c>
      <c r="H71" s="86" t="s">
        <v>25</v>
      </c>
      <c r="I71" s="80">
        <v>22000</v>
      </c>
      <c r="J71" s="122">
        <f t="shared" si="2"/>
        <v>22000</v>
      </c>
      <c r="K71" s="23"/>
      <c r="L71" s="1"/>
    </row>
    <row r="72" spans="1:12" ht="18" customHeight="1">
      <c r="A72" s="7"/>
      <c r="B72" s="211" t="s">
        <v>33</v>
      </c>
      <c r="C72" s="212"/>
      <c r="D72" s="212"/>
      <c r="E72" s="212"/>
      <c r="F72" s="212"/>
      <c r="G72" s="212"/>
      <c r="H72" s="212"/>
      <c r="I72" s="212"/>
      <c r="J72" s="88">
        <f>SUM(J45:J71)</f>
        <v>633382.8333333333</v>
      </c>
      <c r="K72" s="23"/>
      <c r="L72" s="1"/>
    </row>
    <row r="73" spans="1:12" s="2" customFormat="1" ht="18" customHeight="1">
      <c r="A73" s="53"/>
      <c r="B73" s="58"/>
      <c r="C73" s="58"/>
      <c r="D73" s="58"/>
      <c r="E73" s="58"/>
      <c r="F73" s="58"/>
      <c r="G73" s="58"/>
      <c r="H73" s="58"/>
      <c r="I73" s="58"/>
      <c r="J73" s="59"/>
      <c r="K73" s="23"/>
      <c r="L73" s="1"/>
    </row>
    <row r="74" spans="1:12" ht="18" customHeight="1">
      <c r="A74" s="7"/>
      <c r="B74" s="209" t="s">
        <v>34</v>
      </c>
      <c r="C74" s="210"/>
      <c r="D74" s="210"/>
      <c r="E74" s="210"/>
      <c r="F74" s="210"/>
      <c r="G74" s="210"/>
      <c r="H74" s="210"/>
      <c r="I74" s="210"/>
      <c r="J74" s="52">
        <f>J32+J42+J72</f>
        <v>2311382.833333333</v>
      </c>
      <c r="K74" s="23"/>
      <c r="L74" s="1"/>
    </row>
    <row r="75" spans="1:12" s="2" customFormat="1" ht="18" customHeight="1">
      <c r="A75" s="53"/>
      <c r="B75" s="46"/>
      <c r="C75" s="46"/>
      <c r="D75" s="46"/>
      <c r="E75" s="46"/>
      <c r="F75" s="47"/>
      <c r="G75" s="48"/>
      <c r="H75" s="49"/>
      <c r="I75" s="49"/>
      <c r="J75" s="46"/>
      <c r="K75" s="23"/>
      <c r="L75" s="1"/>
    </row>
    <row r="76" spans="1:12" ht="18" customHeight="1">
      <c r="A76" s="7"/>
      <c r="B76" s="46" t="s">
        <v>35</v>
      </c>
      <c r="C76" s="46"/>
      <c r="D76" s="46"/>
      <c r="E76" s="77" t="s">
        <v>2</v>
      </c>
      <c r="F76" s="77"/>
      <c r="G76" s="78"/>
      <c r="H76" s="77"/>
      <c r="I76" s="76" t="s">
        <v>1</v>
      </c>
      <c r="J76" s="76" t="s">
        <v>6</v>
      </c>
      <c r="K76" s="23"/>
      <c r="L76" s="1"/>
    </row>
    <row r="77" spans="1:12" ht="18" customHeight="1">
      <c r="A77" s="7"/>
      <c r="B77" s="180" t="s">
        <v>0</v>
      </c>
      <c r="C77" s="180"/>
      <c r="D77" s="180"/>
      <c r="E77" s="180" t="s">
        <v>3</v>
      </c>
      <c r="F77" s="180"/>
      <c r="G77" s="180"/>
      <c r="H77" s="180"/>
      <c r="I77" s="60">
        <v>0.05</v>
      </c>
      <c r="J77" s="61">
        <f>J74*I77</f>
        <v>115569.14166666666</v>
      </c>
      <c r="K77" s="23"/>
      <c r="L77" s="1"/>
    </row>
    <row r="78" spans="1:12" ht="18" customHeight="1">
      <c r="A78" s="7"/>
      <c r="B78" s="180" t="s">
        <v>36</v>
      </c>
      <c r="C78" s="180"/>
      <c r="D78" s="180"/>
      <c r="E78" s="180" t="s">
        <v>7</v>
      </c>
      <c r="F78" s="180"/>
      <c r="G78" s="180"/>
      <c r="H78" s="180"/>
      <c r="I78" s="62">
        <f>E14</f>
        <v>0.01</v>
      </c>
      <c r="J78" s="61">
        <f>E14*E15*E16*J74</f>
        <v>138682.96999999997</v>
      </c>
      <c r="K78" s="23"/>
      <c r="L78" s="1"/>
    </row>
    <row r="79" spans="1:12" ht="18" customHeight="1">
      <c r="A79" s="7"/>
      <c r="B79" s="180" t="s">
        <v>37</v>
      </c>
      <c r="C79" s="180"/>
      <c r="D79" s="180"/>
      <c r="E79" s="208" t="s">
        <v>5</v>
      </c>
      <c r="F79" s="208"/>
      <c r="G79" s="208"/>
      <c r="H79" s="208"/>
      <c r="I79" s="208"/>
      <c r="J79" s="63"/>
      <c r="K79" s="23"/>
      <c r="L79" s="1"/>
    </row>
    <row r="80" spans="1:12" ht="18" customHeight="1">
      <c r="A80" s="7"/>
      <c r="B80" s="180" t="s">
        <v>4</v>
      </c>
      <c r="C80" s="180"/>
      <c r="D80" s="180"/>
      <c r="E80" s="208"/>
      <c r="F80" s="208"/>
      <c r="G80" s="208"/>
      <c r="H80" s="208"/>
      <c r="I80" s="208"/>
      <c r="J80" s="63"/>
      <c r="K80" s="23"/>
      <c r="L80" s="1"/>
    </row>
    <row r="81" spans="1:12" ht="18" customHeight="1">
      <c r="A81" s="7"/>
      <c r="B81" s="180" t="s">
        <v>38</v>
      </c>
      <c r="C81" s="180"/>
      <c r="D81" s="180"/>
      <c r="E81" s="208"/>
      <c r="F81" s="208"/>
      <c r="G81" s="208"/>
      <c r="H81" s="208"/>
      <c r="I81" s="208"/>
      <c r="J81" s="63"/>
      <c r="K81" s="23"/>
      <c r="L81" s="1"/>
    </row>
    <row r="82" spans="1:12" ht="18" customHeight="1">
      <c r="A82" s="7"/>
      <c r="B82" s="161" t="s">
        <v>39</v>
      </c>
      <c r="C82" s="162"/>
      <c r="D82" s="162"/>
      <c r="E82" s="162"/>
      <c r="F82" s="162"/>
      <c r="G82" s="162"/>
      <c r="H82" s="162"/>
      <c r="I82" s="162"/>
      <c r="J82" s="52">
        <f>SUM(J77:J81)</f>
        <v>254252.11166666663</v>
      </c>
      <c r="K82" s="23"/>
      <c r="L82" s="1"/>
    </row>
    <row r="83" spans="1:12" s="2" customFormat="1" ht="18" customHeight="1">
      <c r="A83" s="53"/>
      <c r="B83" s="48"/>
      <c r="C83" s="48"/>
      <c r="D83" s="48"/>
      <c r="E83" s="48"/>
      <c r="F83" s="48"/>
      <c r="G83" s="48"/>
      <c r="H83" s="48"/>
      <c r="I83" s="48"/>
      <c r="J83" s="54"/>
      <c r="K83" s="23"/>
      <c r="L83" s="1"/>
    </row>
    <row r="84" spans="1:12" ht="18" customHeight="1">
      <c r="A84" s="7"/>
      <c r="B84" s="150" t="s">
        <v>40</v>
      </c>
      <c r="C84" s="151"/>
      <c r="D84" s="151"/>
      <c r="E84" s="151"/>
      <c r="F84" s="151"/>
      <c r="G84" s="151"/>
      <c r="H84" s="151"/>
      <c r="I84" s="151"/>
      <c r="J84" s="64">
        <f>J74+J82</f>
        <v>2565634.945</v>
      </c>
      <c r="K84" s="23"/>
      <c r="L84" s="1"/>
    </row>
    <row r="85" spans="1:12" s="2" customFormat="1" ht="18" customHeight="1" thickBot="1">
      <c r="A85" s="53"/>
      <c r="B85" s="48"/>
      <c r="C85" s="48"/>
      <c r="D85" s="48"/>
      <c r="E85" s="48"/>
      <c r="F85" s="48"/>
      <c r="G85" s="48"/>
      <c r="H85" s="48"/>
      <c r="I85" s="48"/>
      <c r="J85" s="54"/>
      <c r="K85" s="23"/>
      <c r="L85" s="1"/>
    </row>
    <row r="86" spans="1:12" ht="18" customHeight="1" thickBot="1">
      <c r="A86" s="7"/>
      <c r="B86" s="147" t="s">
        <v>41</v>
      </c>
      <c r="C86" s="148"/>
      <c r="D86" s="148"/>
      <c r="E86" s="148"/>
      <c r="F86" s="148"/>
      <c r="G86" s="148"/>
      <c r="H86" s="148"/>
      <c r="I86" s="148"/>
      <c r="J86" s="149"/>
      <c r="K86" s="23"/>
      <c r="L86" s="1"/>
    </row>
    <row r="87" spans="1:12" s="2" customFormat="1" ht="18" customHeight="1">
      <c r="A87" s="53"/>
      <c r="B87" s="65"/>
      <c r="C87" s="65"/>
      <c r="D87" s="65"/>
      <c r="E87" s="65"/>
      <c r="F87" s="65"/>
      <c r="G87" s="65"/>
      <c r="H87" s="65"/>
      <c r="I87" s="65"/>
      <c r="J87" s="65"/>
      <c r="K87" s="23"/>
      <c r="L87" s="1"/>
    </row>
    <row r="88" spans="1:12" ht="18" customHeight="1">
      <c r="A88" s="7"/>
      <c r="B88" s="7"/>
      <c r="C88" s="7"/>
      <c r="D88" s="138" t="s">
        <v>132</v>
      </c>
      <c r="E88" s="139"/>
      <c r="F88" s="139"/>
      <c r="G88" s="139"/>
      <c r="H88" s="140"/>
      <c r="I88" s="7"/>
      <c r="J88" s="7"/>
      <c r="K88" s="23"/>
      <c r="L88" s="1"/>
    </row>
    <row r="89" spans="1:12" ht="18" customHeight="1">
      <c r="A89" s="7"/>
      <c r="B89" s="92"/>
      <c r="C89" s="7"/>
      <c r="D89" s="164" t="s">
        <v>77</v>
      </c>
      <c r="E89" s="165"/>
      <c r="F89" s="138" t="s">
        <v>51</v>
      </c>
      <c r="G89" s="139"/>
      <c r="H89" s="140"/>
      <c r="I89" s="7"/>
      <c r="J89" s="7"/>
      <c r="K89" s="23"/>
      <c r="L89" s="1"/>
    </row>
    <row r="90" spans="1:12" ht="18" customHeight="1">
      <c r="A90" s="7"/>
      <c r="B90" s="7"/>
      <c r="C90" s="7"/>
      <c r="D90" s="168"/>
      <c r="E90" s="169"/>
      <c r="F90" s="66">
        <f>G90*0.9</f>
        <v>333</v>
      </c>
      <c r="G90" s="67">
        <f>E12</f>
        <v>370</v>
      </c>
      <c r="H90" s="66">
        <f>G90*1.1</f>
        <v>407.00000000000006</v>
      </c>
      <c r="I90" s="7"/>
      <c r="J90" s="7"/>
      <c r="K90" s="23"/>
      <c r="L90" s="1"/>
    </row>
    <row r="91" spans="1:12" ht="18.75">
      <c r="A91" s="7"/>
      <c r="B91" s="7"/>
      <c r="C91" s="7"/>
      <c r="D91" s="143">
        <f>D92*0.9</f>
        <v>9000</v>
      </c>
      <c r="E91" s="144"/>
      <c r="F91" s="68">
        <f>F$90*$D$91-Hoja1!$C$40</f>
        <v>522385.05500000063</v>
      </c>
      <c r="G91" s="68">
        <f>G$90*$D$91-Hoja1!$C$40</f>
        <v>855385.0550000006</v>
      </c>
      <c r="H91" s="68">
        <f>H$90*$D$91-Hoja1!$C$40</f>
        <v>1188385.055000001</v>
      </c>
      <c r="I91" s="7"/>
      <c r="J91" s="7"/>
      <c r="K91" s="23"/>
      <c r="L91" s="1"/>
    </row>
    <row r="92" spans="1:12" s="2" customFormat="1" ht="18.75">
      <c r="A92" s="53"/>
      <c r="B92" s="92"/>
      <c r="C92" s="92"/>
      <c r="D92" s="145">
        <f>E11</f>
        <v>10000</v>
      </c>
      <c r="E92" s="146"/>
      <c r="F92" s="68">
        <f>F$90*$D92-$J$84</f>
        <v>764365.0550000002</v>
      </c>
      <c r="G92" s="68">
        <f>G$90*$D92-$J$84</f>
        <v>1134365.0550000002</v>
      </c>
      <c r="H92" s="68">
        <f>H$90*$D92-$J$84</f>
        <v>1504365.0550000006</v>
      </c>
      <c r="I92" s="92"/>
      <c r="J92" s="92"/>
      <c r="K92" s="93"/>
      <c r="L92" s="1"/>
    </row>
    <row r="93" spans="1:12" ht="18.75">
      <c r="A93" s="7"/>
      <c r="B93" s="7"/>
      <c r="C93" s="7"/>
      <c r="D93" s="141">
        <f>D92*1.1</f>
        <v>11000</v>
      </c>
      <c r="E93" s="142"/>
      <c r="F93" s="99">
        <f>F$90*$D$93-Hoja1!$D$40</f>
        <v>1006345.0550000006</v>
      </c>
      <c r="G93" s="99">
        <f>G$90*$D$93-Hoja1!$D$40</f>
        <v>1413345.0550000006</v>
      </c>
      <c r="H93" s="99">
        <f>H$90*$D$93-Hoja1!$D$40</f>
        <v>1820345.0550000016</v>
      </c>
      <c r="I93" s="5"/>
      <c r="J93" s="5"/>
      <c r="K93" s="23"/>
      <c r="L93" s="1"/>
    </row>
    <row r="94" spans="1:12" ht="18.75">
      <c r="A94" s="7"/>
      <c r="B94" s="69"/>
      <c r="C94" s="69"/>
      <c r="D94" s="70"/>
      <c r="E94" s="70"/>
      <c r="F94" s="70"/>
      <c r="G94" s="7"/>
      <c r="H94" s="7"/>
      <c r="I94" s="5"/>
      <c r="J94" s="5"/>
      <c r="K94" s="23"/>
      <c r="L94" s="1"/>
    </row>
    <row r="95" spans="1:12" ht="18" customHeight="1">
      <c r="A95" s="7"/>
      <c r="B95" s="69"/>
      <c r="C95" s="69"/>
      <c r="D95" s="164" t="s">
        <v>133</v>
      </c>
      <c r="E95" s="165"/>
      <c r="F95" s="170" t="s">
        <v>14</v>
      </c>
      <c r="G95" s="171"/>
      <c r="H95" s="172"/>
      <c r="I95" s="5"/>
      <c r="J95" s="5"/>
      <c r="K95" s="23"/>
      <c r="L95" s="1"/>
    </row>
    <row r="96" spans="1:12" ht="18" customHeight="1">
      <c r="A96" s="7"/>
      <c r="B96" s="53"/>
      <c r="C96" s="53"/>
      <c r="D96" s="166"/>
      <c r="E96" s="167"/>
      <c r="F96" s="95">
        <f>G96*0.9</f>
        <v>9000</v>
      </c>
      <c r="G96" s="95">
        <f>E11</f>
        <v>10000</v>
      </c>
      <c r="H96" s="95">
        <f>G96*1.1</f>
        <v>11000</v>
      </c>
      <c r="I96" s="5"/>
      <c r="J96" s="5"/>
      <c r="K96" s="23"/>
      <c r="L96" s="1"/>
    </row>
    <row r="97" spans="1:12" ht="18" customHeight="1">
      <c r="A97" s="7"/>
      <c r="B97" s="7"/>
      <c r="C97" s="7"/>
      <c r="D97" s="168"/>
      <c r="E97" s="169"/>
      <c r="F97" s="71">
        <f>Hoja1!C40/Ficha!F96</f>
        <v>274.95721611111105</v>
      </c>
      <c r="G97" s="71">
        <f>$J$84/G$96</f>
        <v>256.5634945</v>
      </c>
      <c r="H97" s="71">
        <f>Hoja1!D40/Ficha!H96</f>
        <v>241.51408590909085</v>
      </c>
      <c r="I97" s="5"/>
      <c r="J97" s="5"/>
      <c r="K97" s="23"/>
      <c r="L97" s="1"/>
    </row>
    <row r="98" spans="1:11" ht="18" customHeight="1">
      <c r="A98" s="7"/>
      <c r="B98" s="163" t="s">
        <v>42</v>
      </c>
      <c r="C98" s="163"/>
      <c r="D98" s="163"/>
      <c r="E98" s="163"/>
      <c r="F98" s="163"/>
      <c r="G98" s="163"/>
      <c r="H98" s="163"/>
      <c r="I98" s="163"/>
      <c r="J98" s="163"/>
      <c r="K98" s="72"/>
    </row>
    <row r="99" spans="1:11" ht="18" customHeight="1">
      <c r="A99" s="7"/>
      <c r="B99" s="155" t="s">
        <v>136</v>
      </c>
      <c r="C99" s="156"/>
      <c r="D99" s="156"/>
      <c r="E99" s="156"/>
      <c r="F99" s="156"/>
      <c r="G99" s="156"/>
      <c r="H99" s="156"/>
      <c r="I99" s="156"/>
      <c r="J99" s="157"/>
      <c r="K99" s="72"/>
    </row>
    <row r="100" spans="1:11" ht="18" customHeight="1">
      <c r="A100" s="7"/>
      <c r="B100" s="158"/>
      <c r="C100" s="159"/>
      <c r="D100" s="159"/>
      <c r="E100" s="159"/>
      <c r="F100" s="159"/>
      <c r="G100" s="159"/>
      <c r="H100" s="159"/>
      <c r="I100" s="159"/>
      <c r="J100" s="160"/>
      <c r="K100" s="72"/>
    </row>
    <row r="101" spans="1:11" ht="18" customHeight="1">
      <c r="A101" s="7"/>
      <c r="B101" s="158" t="s">
        <v>45</v>
      </c>
      <c r="C101" s="159"/>
      <c r="D101" s="159"/>
      <c r="E101" s="159"/>
      <c r="F101" s="159"/>
      <c r="G101" s="159"/>
      <c r="H101" s="159"/>
      <c r="I101" s="159"/>
      <c r="J101" s="160"/>
      <c r="K101" s="72"/>
    </row>
    <row r="102" spans="1:11" ht="18" customHeight="1">
      <c r="A102" s="7"/>
      <c r="B102" s="158"/>
      <c r="C102" s="159"/>
      <c r="D102" s="159"/>
      <c r="E102" s="159"/>
      <c r="F102" s="159"/>
      <c r="G102" s="159"/>
      <c r="H102" s="159"/>
      <c r="I102" s="159"/>
      <c r="J102" s="160"/>
      <c r="K102" s="72"/>
    </row>
    <row r="103" spans="1:11" ht="18" customHeight="1">
      <c r="A103" s="7"/>
      <c r="B103" s="158"/>
      <c r="C103" s="159"/>
      <c r="D103" s="159"/>
      <c r="E103" s="159"/>
      <c r="F103" s="159"/>
      <c r="G103" s="159"/>
      <c r="H103" s="159"/>
      <c r="I103" s="159"/>
      <c r="J103" s="160"/>
      <c r="K103" s="7"/>
    </row>
    <row r="104" spans="1:11" ht="18" customHeight="1">
      <c r="A104" s="7"/>
      <c r="B104" s="152" t="s">
        <v>134</v>
      </c>
      <c r="C104" s="153"/>
      <c r="D104" s="153"/>
      <c r="E104" s="153"/>
      <c r="F104" s="153"/>
      <c r="G104" s="153"/>
      <c r="H104" s="153"/>
      <c r="I104" s="153"/>
      <c r="J104" s="154"/>
      <c r="K104" s="7"/>
    </row>
    <row r="105" spans="1:11" ht="18" customHeight="1">
      <c r="A105" s="7"/>
      <c r="B105" s="152" t="s">
        <v>54</v>
      </c>
      <c r="C105" s="153"/>
      <c r="D105" s="153"/>
      <c r="E105" s="153"/>
      <c r="F105" s="153"/>
      <c r="G105" s="153"/>
      <c r="H105" s="153"/>
      <c r="I105" s="153"/>
      <c r="J105" s="154"/>
      <c r="K105" s="7"/>
    </row>
    <row r="106" spans="1:11" ht="18" customHeight="1">
      <c r="A106" s="7"/>
      <c r="B106" s="205" t="s">
        <v>55</v>
      </c>
      <c r="C106" s="206"/>
      <c r="D106" s="206"/>
      <c r="E106" s="206"/>
      <c r="F106" s="206"/>
      <c r="G106" s="206"/>
      <c r="H106" s="206"/>
      <c r="I106" s="206"/>
      <c r="J106" s="207"/>
      <c r="K106" s="7"/>
    </row>
  </sheetData>
  <sheetProtection/>
  <mergeCells count="95">
    <mergeCell ref="E61:F61"/>
    <mergeCell ref="E62:F62"/>
    <mergeCell ref="E66:F66"/>
    <mergeCell ref="E68:F68"/>
    <mergeCell ref="E70:F70"/>
    <mergeCell ref="E53:F53"/>
    <mergeCell ref="E54:F54"/>
    <mergeCell ref="E55:F55"/>
    <mergeCell ref="E56:F56"/>
    <mergeCell ref="E57:F57"/>
    <mergeCell ref="E58:F58"/>
    <mergeCell ref="B106:J106"/>
    <mergeCell ref="E79:I81"/>
    <mergeCell ref="E77:H77"/>
    <mergeCell ref="B79:D79"/>
    <mergeCell ref="B81:D81"/>
    <mergeCell ref="E78:H78"/>
    <mergeCell ref="B74:I74"/>
    <mergeCell ref="B72:I72"/>
    <mergeCell ref="E59:F59"/>
    <mergeCell ref="E50:F50"/>
    <mergeCell ref="E48:F48"/>
    <mergeCell ref="B42:I42"/>
    <mergeCell ref="E60:F60"/>
    <mergeCell ref="E45:F45"/>
    <mergeCell ref="B41:D41"/>
    <mergeCell ref="E41:F41"/>
    <mergeCell ref="E47:F47"/>
    <mergeCell ref="E46:F46"/>
    <mergeCell ref="E52:F52"/>
    <mergeCell ref="E49:F49"/>
    <mergeCell ref="E51:F51"/>
    <mergeCell ref="B1:J1"/>
    <mergeCell ref="E3:G3"/>
    <mergeCell ref="E2:G2"/>
    <mergeCell ref="B22:D22"/>
    <mergeCell ref="E22:F22"/>
    <mergeCell ref="B18:D19"/>
    <mergeCell ref="E36:F36"/>
    <mergeCell ref="E18:F19"/>
    <mergeCell ref="G10:J10"/>
    <mergeCell ref="B10:E10"/>
    <mergeCell ref="G18:G19"/>
    <mergeCell ref="H18:H19"/>
    <mergeCell ref="I18:I19"/>
    <mergeCell ref="J18:J19"/>
    <mergeCell ref="E28:F28"/>
    <mergeCell ref="E29:F29"/>
    <mergeCell ref="E30:F30"/>
    <mergeCell ref="B23:D23"/>
    <mergeCell ref="E23:F23"/>
    <mergeCell ref="B24:D24"/>
    <mergeCell ref="E24:F24"/>
    <mergeCell ref="B27:D27"/>
    <mergeCell ref="E27:F27"/>
    <mergeCell ref="E25:F25"/>
    <mergeCell ref="E26:F26"/>
    <mergeCell ref="B80:D80"/>
    <mergeCell ref="B77:D77"/>
    <mergeCell ref="B78:D78"/>
    <mergeCell ref="E35:F35"/>
    <mergeCell ref="B31:D31"/>
    <mergeCell ref="B37:D37"/>
    <mergeCell ref="B32:I32"/>
    <mergeCell ref="E31:F31"/>
    <mergeCell ref="E38:F38"/>
    <mergeCell ref="E39:F39"/>
    <mergeCell ref="B40:D40"/>
    <mergeCell ref="E40:F40"/>
    <mergeCell ref="B36:D36"/>
    <mergeCell ref="B38:D38"/>
    <mergeCell ref="B39:D39"/>
    <mergeCell ref="E37:F37"/>
    <mergeCell ref="E63:F63"/>
    <mergeCell ref="E64:F64"/>
    <mergeCell ref="E65:F65"/>
    <mergeCell ref="E69:F69"/>
    <mergeCell ref="E71:F71"/>
    <mergeCell ref="E67:F67"/>
    <mergeCell ref="B105:J105"/>
    <mergeCell ref="B104:J104"/>
    <mergeCell ref="B99:J100"/>
    <mergeCell ref="B82:I82"/>
    <mergeCell ref="B98:J98"/>
    <mergeCell ref="B101:J103"/>
    <mergeCell ref="D95:E97"/>
    <mergeCell ref="D89:E90"/>
    <mergeCell ref="D88:H88"/>
    <mergeCell ref="F95:H95"/>
    <mergeCell ref="F89:H89"/>
    <mergeCell ref="D93:E93"/>
    <mergeCell ref="D91:E91"/>
    <mergeCell ref="D92:E92"/>
    <mergeCell ref="B86:J86"/>
    <mergeCell ref="B84:I84"/>
  </mergeCells>
  <printOptions horizontalCentered="1"/>
  <pageMargins left="0.31496062992125984" right="0.31496062992125984" top="0.35433070866141736" bottom="0.35433070866141736" header="0.31496062992125984" footer="0.31496062992125984"/>
  <pageSetup fitToHeight="0" fitToWidth="1" orientation="portrait" scale="51" r:id="rId2"/>
  <rowBreaks count="1" manualBreakCount="1">
    <brk id="75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40"/>
  <sheetViews>
    <sheetView zoomScalePageLayoutView="0" workbookViewId="0" topLeftCell="A19">
      <selection activeCell="D40" sqref="D40"/>
    </sheetView>
  </sheetViews>
  <sheetFormatPr defaultColWidth="11.421875" defaultRowHeight="15"/>
  <cols>
    <col min="2" max="2" width="34.421875" style="0" bestFit="1" customWidth="1"/>
  </cols>
  <sheetData>
    <row r="2" spans="2:3" ht="15">
      <c r="B2" s="111" t="s">
        <v>100</v>
      </c>
      <c r="C2" s="112">
        <f>((Ficha!E11-10000)/10000)+1</f>
        <v>1</v>
      </c>
    </row>
    <row r="4" ht="15">
      <c r="B4" s="113" t="s">
        <v>101</v>
      </c>
    </row>
    <row r="5" spans="2:3" ht="15">
      <c r="B5" t="s">
        <v>50</v>
      </c>
      <c r="C5">
        <v>30000</v>
      </c>
    </row>
    <row r="6" spans="2:3" ht="15">
      <c r="B6" t="s">
        <v>108</v>
      </c>
      <c r="C6">
        <v>3</v>
      </c>
    </row>
    <row r="7" spans="2:3" ht="15">
      <c r="B7" t="s">
        <v>109</v>
      </c>
      <c r="C7">
        <v>30000</v>
      </c>
    </row>
    <row r="8" spans="2:3" ht="15">
      <c r="B8" t="s">
        <v>73</v>
      </c>
      <c r="C8">
        <v>10000</v>
      </c>
    </row>
    <row r="14" ht="15">
      <c r="B14" s="113" t="s">
        <v>41</v>
      </c>
    </row>
    <row r="16" spans="2:4" ht="15">
      <c r="B16" s="111" t="s">
        <v>102</v>
      </c>
      <c r="C16" s="114">
        <f>Ficha!D91</f>
        <v>9000</v>
      </c>
      <c r="D16" s="114">
        <f>Ficha!D93</f>
        <v>11000</v>
      </c>
    </row>
    <row r="18" spans="2:4" ht="15">
      <c r="B18" s="111" t="s">
        <v>100</v>
      </c>
      <c r="C18" s="112">
        <v>0.9</v>
      </c>
      <c r="D18" s="112">
        <v>1.1</v>
      </c>
    </row>
    <row r="20" ht="15">
      <c r="B20" t="s">
        <v>27</v>
      </c>
    </row>
    <row r="21" spans="2:4" ht="15">
      <c r="B21" t="s">
        <v>103</v>
      </c>
      <c r="C21" s="115">
        <f>Ficha!J22+Ficha!J23+Ficha!J24+Ficha!J25+Ficha!J26+Ficha!J28+Ficha!J29+Ficha!J30+Ficha!J31</f>
        <v>548000</v>
      </c>
      <c r="D21" s="115">
        <f>Ficha!J22+Ficha!J23+Ficha!J24+Ficha!J25+Ficha!J26+Ficha!J28+Ficha!J29+Ficha!J30+Ficha!J31</f>
        <v>548000</v>
      </c>
    </row>
    <row r="22" spans="2:4" ht="15">
      <c r="B22" s="116" t="s">
        <v>104</v>
      </c>
      <c r="C22" s="117">
        <f>C18*Ficha!G27*Ficha!I27</f>
        <v>540000</v>
      </c>
      <c r="D22" s="117">
        <f>D18*Ficha!G27*Ficha!I27</f>
        <v>660000</v>
      </c>
    </row>
    <row r="23" spans="2:4" ht="15">
      <c r="B23" t="s">
        <v>105</v>
      </c>
      <c r="C23" s="115">
        <f>SUM(C21:C22)</f>
        <v>1088000</v>
      </c>
      <c r="D23" s="115">
        <f>SUM(D21:D22)</f>
        <v>1208000</v>
      </c>
    </row>
    <row r="25" ht="15">
      <c r="B25" t="s">
        <v>29</v>
      </c>
    </row>
    <row r="26" spans="2:4" ht="15">
      <c r="B26" t="s">
        <v>103</v>
      </c>
      <c r="C26" s="115">
        <f>SUM(Ficha!J35:J38)</f>
        <v>310000</v>
      </c>
      <c r="D26" s="115">
        <f>SUM(Ficha!J35:J38)</f>
        <v>310000</v>
      </c>
    </row>
    <row r="27" spans="2:4" ht="15">
      <c r="B27" s="116" t="s">
        <v>104</v>
      </c>
      <c r="C27" s="117">
        <f>Hoja1!C18*Ficha!G39*Ficha!I39+C18*Ficha!G40*Ficha!I40+C18*Ficha!G41*Ficha!I41</f>
        <v>198000</v>
      </c>
      <c r="D27" s="117">
        <f>D18*Ficha!G39*Ficha!I39+Hoja1!D18*Ficha!G40*Ficha!I40+Hoja1!D18*Ficha!G41*Ficha!I41</f>
        <v>242000</v>
      </c>
    </row>
    <row r="28" spans="2:4" ht="15">
      <c r="B28" t="s">
        <v>105</v>
      </c>
      <c r="C28" s="115">
        <f>SUM(C26:C27)</f>
        <v>508000</v>
      </c>
      <c r="D28" s="115">
        <f>SUM(D26:D27)</f>
        <v>552000</v>
      </c>
    </row>
    <row r="30" ht="15">
      <c r="B30" t="s">
        <v>106</v>
      </c>
    </row>
    <row r="31" spans="2:4" ht="15">
      <c r="B31" t="s">
        <v>103</v>
      </c>
      <c r="C31" s="115">
        <f>SUM(Ficha!J46:J71)</f>
        <v>633382.8333333333</v>
      </c>
      <c r="D31" s="115">
        <f>SUM(Ficha!J46:J71)</f>
        <v>633382.8333333333</v>
      </c>
    </row>
    <row r="32" spans="2:4" ht="15">
      <c r="B32" s="116" t="s">
        <v>104</v>
      </c>
      <c r="C32" s="116">
        <v>0</v>
      </c>
      <c r="D32" s="116">
        <v>0</v>
      </c>
    </row>
    <row r="33" spans="2:4" ht="15">
      <c r="B33" t="s">
        <v>105</v>
      </c>
      <c r="C33" s="115">
        <f>SUM(C31:C32)</f>
        <v>633382.8333333333</v>
      </c>
      <c r="D33" s="115">
        <f>SUM(D31:D32)</f>
        <v>633382.8333333333</v>
      </c>
    </row>
    <row r="35" spans="2:4" ht="15">
      <c r="B35" s="113" t="s">
        <v>107</v>
      </c>
      <c r="C35" s="115">
        <f>C23+C28+C33</f>
        <v>2229382.833333333</v>
      </c>
      <c r="D35" s="115">
        <f>D23+D28+D33</f>
        <v>2393382.833333333</v>
      </c>
    </row>
    <row r="37" spans="2:4" ht="15">
      <c r="B37" t="s">
        <v>0</v>
      </c>
      <c r="C37" s="118">
        <f>C35*Ficha!$I$77</f>
        <v>111469.14166666666</v>
      </c>
      <c r="D37" s="118">
        <f>D35*Ficha!$I$77</f>
        <v>119669.14166666666</v>
      </c>
    </row>
    <row r="38" spans="2:4" ht="15">
      <c r="B38" t="s">
        <v>36</v>
      </c>
      <c r="C38" s="118">
        <f>C35*Ficha!$E$14*Ficha!$E$15*Ficha!$E$16</f>
        <v>133762.96999999997</v>
      </c>
      <c r="D38" s="118">
        <f>D35*Ficha!$E$14*Ficha!$E$15*Ficha!$E$16</f>
        <v>143602.96999999997</v>
      </c>
    </row>
    <row r="40" spans="2:4" ht="15">
      <c r="B40" s="113" t="s">
        <v>40</v>
      </c>
      <c r="C40" s="119">
        <f>C35+C37+C38</f>
        <v>2474614.9449999994</v>
      </c>
      <c r="D40" s="119">
        <f>D35+D37+D38</f>
        <v>2656654.9449999994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David Cohen Pacini</cp:lastModifiedBy>
  <cp:lastPrinted>2012-12-03T13:24:36Z</cp:lastPrinted>
  <dcterms:created xsi:type="dcterms:W3CDTF">2012-07-09T18:51:50Z</dcterms:created>
  <dcterms:modified xsi:type="dcterms:W3CDTF">2017-10-06T19:50:45Z</dcterms:modified>
  <cp:category/>
  <cp:version/>
  <cp:contentType/>
  <cp:contentStatus/>
</cp:coreProperties>
</file>