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180" windowWidth="8985" windowHeight="7275" activeTab="0"/>
  </bookViews>
  <sheets>
    <sheet name="kiwi" sheetId="1" r:id="rId1"/>
    <sheet name="rdto_variable" sheetId="2" r:id="rId2"/>
  </sheets>
  <definedNames>
    <definedName name="_xlfn.IFERROR" hidden="1">#NAME?</definedName>
    <definedName name="_xlnm.Print_Area" localSheetId="0">'kiwi'!$A$1:$K$127</definedName>
    <definedName name="costo_financiero">'kiwi'!$J$94</definedName>
    <definedName name="imprevistos">'kiwi'!$J$90</definedName>
    <definedName name="meses_financiamiento">'kiwi'!$E$17</definedName>
    <definedName name="precio_de_venta">'kiwi'!$E$14</definedName>
    <definedName name="rendimiento">'kiwi'!$E$13</definedName>
    <definedName name="tasa_interes_mensual">'kiwi'!$E$16</definedName>
    <definedName name="total_costos">'kiwi'!$J$100</definedName>
    <definedName name="total_costos_directos">'kiwi'!$J$88</definedName>
    <definedName name="total_costos_indirectos">'kiwi'!$J$98</definedName>
    <definedName name="total_insumos">'kiwi'!$J$86</definedName>
    <definedName name="total_mano_obra">'kiwi'!$J$30</definedName>
    <definedName name="total_maquinaria">'kiwi'!$J$39</definedName>
  </definedNames>
  <calcPr fullCalcOnLoad="1"/>
</workbook>
</file>

<file path=xl/sharedStrings.xml><?xml version="1.0" encoding="utf-8"?>
<sst xmlns="http://schemas.openxmlformats.org/spreadsheetml/2006/main" count="247" uniqueCount="165">
  <si>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</si>
  <si>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</si>
  <si>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</si>
  <si>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</si>
  <si>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</si>
  <si>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</si>
  <si>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</si>
  <si>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</si>
  <si>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</si>
  <si>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</si>
  <si>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</si>
  <si>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</si>
  <si>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</si>
  <si>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</si>
  <si>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</si>
  <si>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</si>
  <si>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</si>
  <si>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</si>
  <si>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</si>
  <si>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</si>
  <si>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</si>
  <si>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</si>
  <si>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</si>
  <si>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</si>
  <si>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</si>
  <si>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</si>
  <si>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</si>
  <si>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</si>
  <si>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</si>
  <si>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</si>
  <si>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</si>
  <si>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</si>
  <si>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</si>
  <si>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</si>
  <si>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</si>
  <si>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</si>
  <si>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</si>
  <si>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</si>
  <si>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</si>
  <si>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</si>
  <si>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</si>
  <si>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</si>
  <si>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Fungicidas:</t>
  </si>
  <si>
    <t>Insecticidas:</t>
  </si>
  <si>
    <t>Kg</t>
  </si>
  <si>
    <t>Destino de producción: consumo fresco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</si>
  <si>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</si>
  <si>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</si>
  <si>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</si>
  <si>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</si>
  <si>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</si>
  <si>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</si>
  <si>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</si>
  <si>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</si>
  <si>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</si>
  <si>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Precio($/Un)</t>
  </si>
  <si>
    <t>(4) 1,5% mensual simple, tasa de interés promedio de las empresas distribuidoras de insumos</t>
  </si>
  <si>
    <t>ha</t>
  </si>
  <si>
    <t xml:space="preserve"> </t>
  </si>
  <si>
    <t>Precio ($/Kg)</t>
  </si>
  <si>
    <t>Aplicación de pesticidas</t>
  </si>
  <si>
    <t>Plantas</t>
  </si>
  <si>
    <t>Anual</t>
  </si>
  <si>
    <t>Análisis</t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</si>
  <si>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(2)</t>
    </r>
  </si>
  <si>
    <r>
      <t xml:space="preserve">Costo financiero (tasa de interés) </t>
    </r>
    <r>
      <rPr>
        <vertAlign val="superscript"/>
        <sz val="14"/>
        <rFont val="Arial"/>
        <family val="2"/>
      </rPr>
      <t>(4)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</si>
  <si>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(5)</t>
    </r>
  </si>
  <si>
    <t>Fertilizantes foliares:</t>
  </si>
  <si>
    <t>Otros:</t>
  </si>
  <si>
    <t>Urea</t>
  </si>
  <si>
    <t>Karate con tecnología Zeon</t>
  </si>
  <si>
    <t>Dipel WG</t>
  </si>
  <si>
    <t>Nitrofoska</t>
  </si>
  <si>
    <t>Rdto original ficha</t>
  </si>
  <si>
    <t>Ponderador/variación</t>
  </si>
  <si>
    <t>Mano de Obra</t>
  </si>
  <si>
    <t>Maquinaria</t>
  </si>
  <si>
    <t>Insumos</t>
  </si>
  <si>
    <t>Cantidad (Q)</t>
  </si>
  <si>
    <t>(5) Margen neto corresponde a ingresos totales (precio venta x rendimiento) menos los costos totales.</t>
  </si>
  <si>
    <t>(6) Representa el precio de venta mínimo para cubrir los costos totales de producción.</t>
  </si>
  <si>
    <t>Herbicidas:</t>
  </si>
  <si>
    <t>Acaricidas:</t>
  </si>
  <si>
    <t>Poda de invierno</t>
  </si>
  <si>
    <t>Cosecha</t>
  </si>
  <si>
    <t>Control de cosecha y selección</t>
  </si>
  <si>
    <t>Flete</t>
  </si>
  <si>
    <t>Nitrato calcio</t>
  </si>
  <si>
    <t>Lorsban 4E</t>
  </si>
  <si>
    <t>Zero 5 EC</t>
  </si>
  <si>
    <t>Farmon</t>
  </si>
  <si>
    <t>Strepto Plus</t>
  </si>
  <si>
    <t>Solubor</t>
  </si>
  <si>
    <t>Frutaliv</t>
  </si>
  <si>
    <t>Basfoliar Zn</t>
  </si>
  <si>
    <t>Certificación</t>
  </si>
  <si>
    <t>Abejas</t>
  </si>
  <si>
    <t>Junio-julio</t>
  </si>
  <si>
    <t>Septiembre-marzo</t>
  </si>
  <si>
    <t>Marzo-octubre</t>
  </si>
  <si>
    <t>Agosto-abril</t>
  </si>
  <si>
    <t>Septiembre-noviembre</t>
  </si>
  <si>
    <t>Nitrato Potasio</t>
  </si>
  <si>
    <t>Noviembre-enero</t>
  </si>
  <si>
    <t>Septiembre-febrero</t>
  </si>
  <si>
    <t>Septiembre-octubre</t>
  </si>
  <si>
    <t>Octubre-enero</t>
  </si>
  <si>
    <t>Break</t>
  </si>
  <si>
    <t>Abril-diciembre</t>
  </si>
  <si>
    <t>Agosto-septiembre</t>
  </si>
  <si>
    <t>Abril-febrero</t>
  </si>
  <si>
    <t>Agosto</t>
  </si>
  <si>
    <t>Kiwi</t>
  </si>
  <si>
    <t>Riego y limpia de acequias</t>
  </si>
  <si>
    <t>Prevenir heladas</t>
  </si>
  <si>
    <t>Raleo</t>
  </si>
  <si>
    <t>Noviembre-diciembre</t>
  </si>
  <si>
    <t>Abril</t>
  </si>
  <si>
    <t>Rastrajes</t>
  </si>
  <si>
    <t>Melgadura</t>
  </si>
  <si>
    <t>Entec 26</t>
  </si>
  <si>
    <t>Abamite Me</t>
  </si>
  <si>
    <t>Roundup Full</t>
  </si>
  <si>
    <t>Octubre-diciembre</t>
  </si>
  <si>
    <t xml:space="preserve">     Septiembre-Febrero</t>
  </si>
  <si>
    <t>Agosto-enero</t>
  </si>
  <si>
    <t>Noviembre-Febrero</t>
  </si>
  <si>
    <t>Febrero-enero</t>
  </si>
  <si>
    <t>Mayo-julio</t>
  </si>
  <si>
    <t>Julio-octubre</t>
  </si>
  <si>
    <t>Septiembre-abril</t>
  </si>
  <si>
    <t>Agosto-octubre</t>
  </si>
  <si>
    <t>Agosto-noviembre</t>
  </si>
  <si>
    <t>Octubre-marzo</t>
  </si>
  <si>
    <t>Mayo-febrero</t>
  </si>
  <si>
    <t>Mayo-diciembre</t>
  </si>
  <si>
    <t>Regulador de crecimiento:</t>
  </si>
  <si>
    <t>Dormex (aplicar 60 a 55 días antes de floración)</t>
  </si>
  <si>
    <t>Bactericidas:</t>
  </si>
  <si>
    <t/>
  </si>
  <si>
    <t>Nordox Super 75 WG</t>
  </si>
  <si>
    <t>Iprodione 500</t>
  </si>
  <si>
    <t>Aceite Citroliv Miscible</t>
  </si>
  <si>
    <t>Fosfimax 40 20</t>
  </si>
  <si>
    <t>Baños químicos (arriendo)</t>
  </si>
  <si>
    <t>Control de malezas</t>
  </si>
  <si>
    <t>Triturar los restos de poda</t>
  </si>
  <si>
    <t>Sacar cosecha y carga</t>
  </si>
  <si>
    <t>Densidad (Plantas/ha): 625 (4,0m x 4,0m)</t>
  </si>
  <si>
    <t>Tecnología de riego: goteo</t>
  </si>
  <si>
    <t>1 hectárea junio 2017</t>
  </si>
  <si>
    <t>Variedad: Hayward</t>
  </si>
  <si>
    <t>Huerto en plena producción</t>
  </si>
  <si>
    <t>(2) El programa fitosanitario y nombre de productos es solo referencial y no constituye recomendación alguna por parte de Odepa. Para cada caso particular, consultar con un profesional calificado de acuerdo a las condiciones específicas de cada predio, especialmente el periodo de carencia de los pesticidas. El productor puede cambiar los parámetros a través de la ficha de simulación.</t>
  </si>
  <si>
    <t>(3) La dosis de fertilización promedio podría variar de acuerdo a los resultados del análisis de suelo y foliar.</t>
  </si>
  <si>
    <t>Región de O'Higgins</t>
  </si>
  <si>
    <t>Fecha de cosecha: abril</t>
  </si>
  <si>
    <t>(1) El precio del kilo de kiwi corresponde al promedio estimado de la región a nivel predial, estimado durante la cosecha porque hay que esperar la liquidación final, para la temporada 2016/2017.</t>
  </si>
  <si>
    <r>
      <t xml:space="preserve">Precio de venta a productor ($/kg): </t>
    </r>
    <r>
      <rPr>
        <b/>
        <vertAlign val="superscript"/>
        <sz val="14"/>
        <rFont val="Arial"/>
        <family val="2"/>
      </rPr>
      <t>(1)</t>
    </r>
  </si>
  <si>
    <r>
      <t xml:space="preserve">Costo Unitario ($/kg) </t>
    </r>
    <r>
      <rPr>
        <b/>
        <vertAlign val="superscript"/>
        <sz val="14"/>
        <color indexed="9"/>
        <rFont val="Arial"/>
        <family val="2"/>
      </rPr>
      <t>(6)</t>
    </r>
  </si>
  <si>
    <t>Rendimiento (kg/ha):</t>
  </si>
  <si>
    <t>Rendimiento (kg/ha)</t>
  </si>
  <si>
    <t>Costo Unitario ($/kg)</t>
  </si>
  <si>
    <t>Análisis foliar</t>
  </si>
  <si>
    <r>
      <t xml:space="preserve">Análisis suelo </t>
    </r>
    <r>
      <rPr>
        <vertAlign val="superscript"/>
        <sz val="14"/>
        <rFont val="Arial"/>
        <family val="2"/>
      </rPr>
      <t>(3)</t>
    </r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</si>
</sst>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10"/>
      <name val="Calibri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4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4F6228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  <xf numFmtId="0" fontId="5" fillId="0" borderId="10" applyNumberFormat="0" applyFill="0" applyAlignment="0" applyProtection="0"/>
  </cellStyleXfs>
  <cellXfs count="306"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10" fillId="34" borderId="11" xfId="58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10" fillId="34" borderId="11" xfId="58" applyNumberFormat="1" applyFont="1" applyFill="1" applyBorder="1" applyAlignment="1" applyProtection="1">
      <alignment horizontal="right"/>
      <protection/>
    </xf>
    <xf numFmtId="180" fontId="8" fillId="34" borderId="0" xfId="69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horizontal="right"/>
      <protection/>
    </xf>
    <xf numFmtId="17" fontId="10" fillId="34" borderId="0" xfId="69" applyNumberFormat="1" applyFont="1" applyFill="1" applyAlignment="1" applyProtection="1">
      <alignment/>
      <protection/>
    </xf>
    <xf numFmtId="0" fontId="8" fillId="34" borderId="0" xfId="58" applyFont="1" applyFill="1" applyBorder="1" applyAlignment="1" applyProtection="1">
      <alignment vertical="center"/>
      <protection/>
    </xf>
    <xf numFmtId="181" fontId="8" fillId="34" borderId="0" xfId="58" applyNumberFormat="1" applyFont="1" applyFill="1" applyBorder="1" applyAlignment="1" applyProtection="1">
      <alignment horizontal="right" vertical="center"/>
      <protection/>
    </xf>
    <xf numFmtId="0" fontId="8" fillId="34" borderId="0" xfId="58" applyFont="1" applyFill="1" applyBorder="1" applyAlignment="1" applyProtection="1">
      <alignment horizontal="right" vertical="center"/>
      <protection/>
    </xf>
    <xf numFmtId="3" fontId="8" fillId="34" borderId="0" xfId="58" applyNumberFormat="1" applyFont="1" applyFill="1" applyBorder="1" applyAlignment="1" applyProtection="1">
      <alignment horizontal="left" vertical="center"/>
      <protection/>
    </xf>
    <xf numFmtId="0" fontId="7" fillId="34" borderId="0" xfId="58" applyFont="1" applyFill="1" applyAlignment="1">
      <alignment/>
      <protection/>
    </xf>
    <xf numFmtId="181" fontId="8" fillId="34" borderId="0" xfId="58" applyNumberFormat="1" applyFont="1" applyFill="1" applyBorder="1" applyAlignment="1" applyProtection="1">
      <alignment horizontal="left" vertical="center"/>
      <protection/>
    </xf>
    <xf numFmtId="3" fontId="8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horizontal="left"/>
      <protection/>
    </xf>
    <xf numFmtId="0" fontId="0" fillId="34" borderId="12" xfId="0" applyFill="1" applyBorder="1" applyAlignment="1">
      <alignment/>
    </xf>
    <xf numFmtId="3" fontId="10" fillId="34" borderId="0" xfId="57" applyNumberFormat="1" applyFont="1" applyFill="1" applyBorder="1" applyAlignment="1">
      <alignment horizontal="right"/>
      <protection/>
    </xf>
    <xf numFmtId="17" fontId="8" fillId="34" borderId="0" xfId="69" applyNumberFormat="1" applyFont="1" applyFill="1" applyAlignment="1" applyProtection="1">
      <alignment/>
      <protection/>
    </xf>
    <xf numFmtId="0" fontId="61" fillId="35" borderId="12" xfId="0" applyFont="1" applyFill="1" applyBorder="1" applyAlignment="1">
      <alignment horizontal="center"/>
    </xf>
    <xf numFmtId="17" fontId="10" fillId="34" borderId="13" xfId="69" applyNumberFormat="1" applyFont="1" applyFill="1" applyBorder="1" applyAlignment="1" applyProtection="1">
      <alignment/>
      <protection/>
    </xf>
    <xf numFmtId="17" fontId="10" fillId="34" borderId="0" xfId="69" applyNumberFormat="1" applyFont="1" applyFill="1" applyBorder="1" applyAlignment="1" applyProtection="1">
      <alignment/>
      <protection/>
    </xf>
    <xf numFmtId="17" fontId="8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8" fillId="34" borderId="0" xfId="58" applyFont="1" applyFill="1" applyBorder="1" applyAlignment="1" applyProtection="1">
      <alignment horizontal="left" vertical="center"/>
      <protection/>
    </xf>
    <xf numFmtId="180" fontId="10" fillId="34" borderId="0" xfId="69" applyFont="1" applyFill="1" applyBorder="1" applyAlignment="1" applyProtection="1">
      <alignment/>
      <protection/>
    </xf>
    <xf numFmtId="180" fontId="8" fillId="34" borderId="0" xfId="69" applyFont="1" applyFill="1" applyBorder="1" applyAlignment="1" applyProtection="1">
      <alignment/>
      <protection/>
    </xf>
    <xf numFmtId="3" fontId="8" fillId="36" borderId="15" xfId="58" applyNumberFormat="1" applyFont="1" applyFill="1" applyBorder="1" applyAlignment="1" applyProtection="1">
      <alignment horizontal="right"/>
      <protection/>
    </xf>
    <xf numFmtId="0" fontId="10" fillId="34" borderId="11" xfId="58" applyFont="1" applyFill="1" applyBorder="1" applyAlignment="1" applyProtection="1">
      <alignment vertical="center"/>
      <protection/>
    </xf>
    <xf numFmtId="0" fontId="10" fillId="34" borderId="16" xfId="58" applyFont="1" applyFill="1" applyBorder="1" applyAlignment="1" applyProtection="1">
      <alignment vertical="center"/>
      <protection/>
    </xf>
    <xf numFmtId="181" fontId="62" fillId="23" borderId="17" xfId="58" applyNumberFormat="1" applyFont="1" applyFill="1" applyBorder="1" applyAlignment="1" applyProtection="1">
      <alignment horizontal="center" vertical="center" wrapText="1"/>
      <protection/>
    </xf>
    <xf numFmtId="0" fontId="62" fillId="23" borderId="17" xfId="58" applyFont="1" applyFill="1" applyBorder="1" applyAlignment="1" applyProtection="1">
      <alignment horizontal="center" vertical="center" wrapText="1"/>
      <protection/>
    </xf>
    <xf numFmtId="3" fontId="62" fillId="23" borderId="17" xfId="58" applyNumberFormat="1" applyFont="1" applyFill="1" applyBorder="1" applyAlignment="1" applyProtection="1">
      <alignment horizontal="center" vertical="center" wrapText="1"/>
      <protection/>
    </xf>
    <xf numFmtId="3" fontId="62" fillId="23" borderId="15" xfId="58" applyNumberFormat="1" applyFont="1" applyFill="1" applyBorder="1" applyAlignment="1" applyProtection="1">
      <alignment horizontal="center" vertical="center"/>
      <protection/>
    </xf>
    <xf numFmtId="180" fontId="8" fillId="34" borderId="0" xfId="69" applyFont="1" applyFill="1" applyBorder="1" applyAlignment="1" applyProtection="1">
      <alignment vertical="center"/>
      <protection/>
    </xf>
    <xf numFmtId="180" fontId="10" fillId="34" borderId="0" xfId="69" applyFont="1" applyFill="1" applyBorder="1" applyAlignment="1" applyProtection="1">
      <alignment vertical="center"/>
      <protection/>
    </xf>
    <xf numFmtId="3" fontId="8" fillId="36" borderId="16" xfId="58" applyNumberFormat="1" applyFont="1" applyFill="1" applyBorder="1" applyAlignment="1" applyProtection="1">
      <alignment horizontal="right"/>
      <protection/>
    </xf>
    <xf numFmtId="185" fontId="10" fillId="34" borderId="11" xfId="69" applyNumberFormat="1" applyFont="1" applyFill="1" applyBorder="1" applyAlignment="1" applyProtection="1">
      <alignment horizontal="right"/>
      <protection/>
    </xf>
    <xf numFmtId="3" fontId="8" fillId="36" borderId="15" xfId="0" applyNumberFormat="1" applyFont="1" applyFill="1" applyBorder="1" applyAlignment="1" applyProtection="1">
      <alignment horizontal="right"/>
      <protection/>
    </xf>
    <xf numFmtId="180" fontId="63" fillId="34" borderId="0" xfId="69" applyFont="1" applyFill="1" applyBorder="1" applyAlignment="1" applyProtection="1">
      <alignment/>
      <protection/>
    </xf>
    <xf numFmtId="181" fontId="10" fillId="34" borderId="11" xfId="69" applyNumberFormat="1" applyFont="1" applyFill="1" applyBorder="1" applyAlignment="1" applyProtection="1">
      <alignment horizontal="right"/>
      <protection/>
    </xf>
    <xf numFmtId="3" fontId="10" fillId="34" borderId="18" xfId="58" applyNumberFormat="1" applyFont="1" applyFill="1" applyBorder="1" applyAlignment="1" applyProtection="1">
      <alignment horizontal="right"/>
      <protection/>
    </xf>
    <xf numFmtId="0" fontId="8" fillId="34" borderId="0" xfId="58" applyFont="1" applyFill="1" applyBorder="1" applyAlignment="1" applyProtection="1">
      <alignment horizontal="left"/>
      <protection/>
    </xf>
    <xf numFmtId="0" fontId="10" fillId="34" borderId="0" xfId="58" applyFont="1" applyFill="1" applyBorder="1" applyAlignment="1" applyProtection="1">
      <alignment/>
      <protection/>
    </xf>
    <xf numFmtId="0" fontId="10" fillId="34" borderId="11" xfId="58" applyFont="1" applyFill="1" applyBorder="1" applyAlignment="1" applyProtection="1">
      <alignment/>
      <protection/>
    </xf>
    <xf numFmtId="181" fontId="10" fillId="34" borderId="0" xfId="69" applyNumberFormat="1" applyFont="1" applyFill="1" applyBorder="1" applyAlignment="1" applyProtection="1">
      <alignment/>
      <protection/>
    </xf>
    <xf numFmtId="180" fontId="63" fillId="34" borderId="11" xfId="69" applyFont="1" applyFill="1" applyBorder="1" applyAlignment="1" applyProtection="1">
      <alignment/>
      <protection/>
    </xf>
    <xf numFmtId="180" fontId="8" fillId="34" borderId="13" xfId="69" applyFont="1" applyFill="1" applyBorder="1" applyAlignment="1" applyProtection="1">
      <alignment/>
      <protection/>
    </xf>
    <xf numFmtId="180" fontId="63" fillId="34" borderId="16" xfId="69" applyFont="1" applyFill="1" applyBorder="1" applyAlignment="1" applyProtection="1">
      <alignment/>
      <protection/>
    </xf>
    <xf numFmtId="181" fontId="8" fillId="34" borderId="0" xfId="58" applyNumberFormat="1" applyFont="1" applyFill="1" applyBorder="1" applyAlignment="1" applyProtection="1">
      <alignment horizontal="center" vertical="center" wrapText="1"/>
      <protection/>
    </xf>
    <xf numFmtId="0" fontId="8" fillId="34" borderId="0" xfId="58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/>
      <protection/>
    </xf>
    <xf numFmtId="3" fontId="10" fillId="34" borderId="18" xfId="69" applyNumberFormat="1" applyFont="1" applyFill="1" applyBorder="1" applyAlignment="1" applyProtection="1">
      <alignment horizontal="right"/>
      <protection/>
    </xf>
    <xf numFmtId="3" fontId="10" fillId="34" borderId="11" xfId="69" applyNumberFormat="1" applyFont="1" applyFill="1" applyBorder="1" applyAlignment="1" applyProtection="1">
      <alignment horizontal="right"/>
      <protection/>
    </xf>
    <xf numFmtId="3" fontId="10" fillId="34" borderId="19" xfId="69" applyNumberFormat="1" applyFont="1" applyFill="1" applyBorder="1" applyAlignment="1" applyProtection="1">
      <alignment horizontal="right"/>
      <protection/>
    </xf>
    <xf numFmtId="3" fontId="10" fillId="34" borderId="20" xfId="69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vertical="center"/>
      <protection/>
    </xf>
    <xf numFmtId="3" fontId="8" fillId="34" borderId="0" xfId="58" applyNumberFormat="1" applyFont="1" applyFill="1" applyBorder="1" applyAlignment="1" applyProtection="1">
      <alignment/>
      <protection/>
    </xf>
    <xf numFmtId="0" fontId="10" fillId="34" borderId="21" xfId="69" applyNumberFormat="1" applyFont="1" applyFill="1" applyBorder="1" applyAlignment="1" applyProtection="1">
      <alignment horizontal="left"/>
      <protection/>
    </xf>
    <xf numFmtId="0" fontId="64" fillId="34" borderId="17" xfId="69" applyNumberFormat="1" applyFont="1" applyFill="1" applyBorder="1" applyAlignment="1" applyProtection="1">
      <alignment horizontal="left"/>
      <protection/>
    </xf>
    <xf numFmtId="0" fontId="64" fillId="34" borderId="15" xfId="69" applyNumberFormat="1" applyFont="1" applyFill="1" applyBorder="1" applyAlignment="1" applyProtection="1">
      <alignment horizontal="left"/>
      <protection/>
    </xf>
    <xf numFmtId="9" fontId="10" fillId="34" borderId="12" xfId="69" applyNumberFormat="1" applyFont="1" applyFill="1" applyBorder="1" applyAlignment="1" applyProtection="1">
      <alignment horizontal="right"/>
      <protection/>
    </xf>
    <xf numFmtId="0" fontId="10" fillId="34" borderId="12" xfId="58" applyFont="1" applyFill="1" applyBorder="1" applyAlignment="1" applyProtection="1">
      <alignment horizontal="center"/>
      <protection/>
    </xf>
    <xf numFmtId="3" fontId="10" fillId="34" borderId="12" xfId="58" applyNumberFormat="1" applyFont="1" applyFill="1" applyBorder="1" applyAlignment="1" applyProtection="1">
      <alignment horizontal="right"/>
      <protection/>
    </xf>
    <xf numFmtId="3" fontId="62" fillId="23" borderId="22" xfId="58" applyNumberFormat="1" applyFont="1" applyFill="1" applyBorder="1" applyAlignment="1" applyProtection="1">
      <alignment horizontal="center" vertical="center"/>
      <protection/>
    </xf>
    <xf numFmtId="0" fontId="8" fillId="34" borderId="23" xfId="69" applyNumberFormat="1" applyFont="1" applyFill="1" applyBorder="1" applyAlignment="1" applyProtection="1">
      <alignment/>
      <protection/>
    </xf>
    <xf numFmtId="0" fontId="8" fillId="34" borderId="0" xfId="69" applyNumberFormat="1" applyFont="1" applyFill="1" applyBorder="1" applyAlignment="1" applyProtection="1">
      <alignment/>
      <protection/>
    </xf>
    <xf numFmtId="0" fontId="8" fillId="34" borderId="11" xfId="69" applyNumberFormat="1" applyFont="1" applyFill="1" applyBorder="1" applyAlignment="1" applyProtection="1">
      <alignment/>
      <protection/>
    </xf>
    <xf numFmtId="0" fontId="38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10" fillId="38" borderId="21" xfId="58" applyFont="1" applyFill="1" applyBorder="1" applyAlignment="1" applyProtection="1">
      <alignment/>
      <protection/>
    </xf>
    <xf numFmtId="0" fontId="10" fillId="38" borderId="17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10" fillId="38" borderId="17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10" fillId="39" borderId="21" xfId="58" applyFont="1" applyFill="1" applyBorder="1" applyAlignment="1" applyProtection="1">
      <alignment/>
      <protection/>
    </xf>
    <xf numFmtId="0" fontId="10" fillId="39" borderId="17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10" fillId="39" borderId="17" xfId="58" applyFont="1" applyFill="1" applyBorder="1" applyAlignment="1" applyProtection="1">
      <alignment horizontal="left"/>
      <protection/>
    </xf>
    <xf numFmtId="0" fontId="0" fillId="38" borderId="17" xfId="0" applyFill="1" applyBorder="1" applyAlignment="1">
      <alignment/>
    </xf>
    <xf numFmtId="0" fontId="0" fillId="34" borderId="0" xfId="0" applyFill="1" applyAlignment="1" applyProtection="1">
      <alignment/>
      <protection/>
    </xf>
    <xf numFmtId="181" fontId="0" fillId="34" borderId="0" xfId="0" applyNumberForma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65" fillId="34" borderId="0" xfId="0" applyFont="1" applyFill="1" applyBorder="1" applyAlignment="1" applyProtection="1">
      <alignment/>
      <protection/>
    </xf>
    <xf numFmtId="0" fontId="66" fillId="34" borderId="0" xfId="0" applyFont="1" applyFill="1" applyBorder="1" applyAlignment="1" applyProtection="1">
      <alignment/>
      <protection/>
    </xf>
    <xf numFmtId="0" fontId="65" fillId="34" borderId="0" xfId="0" applyNumberFormat="1" applyFont="1" applyFill="1" applyBorder="1" applyAlignment="1" applyProtection="1">
      <alignment/>
      <protection/>
    </xf>
    <xf numFmtId="3" fontId="10" fillId="34" borderId="0" xfId="69" applyNumberFormat="1" applyFont="1" applyFill="1" applyBorder="1" applyAlignment="1" applyProtection="1">
      <alignment/>
      <protection/>
    </xf>
    <xf numFmtId="2" fontId="66" fillId="34" borderId="0" xfId="69" applyNumberFormat="1" applyFont="1" applyFill="1" applyBorder="1" applyAlignment="1" applyProtection="1">
      <alignment/>
      <protection/>
    </xf>
    <xf numFmtId="0" fontId="66" fillId="34" borderId="14" xfId="0" applyFont="1" applyFill="1" applyBorder="1" applyAlignment="1" applyProtection="1">
      <alignment/>
      <protection/>
    </xf>
    <xf numFmtId="0" fontId="65" fillId="34" borderId="14" xfId="0" applyFont="1" applyFill="1" applyBorder="1" applyAlignment="1" applyProtection="1">
      <alignment/>
      <protection/>
    </xf>
    <xf numFmtId="3" fontId="8" fillId="34" borderId="14" xfId="69" applyNumberFormat="1" applyFont="1" applyFill="1" applyBorder="1" applyAlignment="1" applyProtection="1">
      <alignment/>
      <protection/>
    </xf>
    <xf numFmtId="3" fontId="63" fillId="34" borderId="22" xfId="69" applyNumberFormat="1" applyFont="1" applyFill="1" applyBorder="1" applyAlignment="1" applyProtection="1">
      <alignment/>
      <protection/>
    </xf>
    <xf numFmtId="3" fontId="10" fillId="34" borderId="0" xfId="58" applyNumberFormat="1" applyFont="1" applyFill="1" applyAlignment="1" applyProtection="1">
      <alignment horizontal="right"/>
      <protection/>
    </xf>
    <xf numFmtId="0" fontId="65" fillId="34" borderId="13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181" fontId="10" fillId="34" borderId="0" xfId="69" applyNumberFormat="1" applyFont="1" applyFill="1" applyBorder="1" applyProtection="1">
      <alignment/>
      <protection/>
    </xf>
    <xf numFmtId="181" fontId="8" fillId="34" borderId="24" xfId="0" applyNumberFormat="1" applyFont="1" applyFill="1" applyBorder="1" applyAlignment="1" applyProtection="1">
      <alignment/>
      <protection/>
    </xf>
    <xf numFmtId="3" fontId="8" fillId="34" borderId="22" xfId="58" applyNumberFormat="1" applyFont="1" applyFill="1" applyBorder="1" applyAlignment="1" applyProtection="1">
      <alignment/>
      <protection/>
    </xf>
    <xf numFmtId="181" fontId="8" fillId="34" borderId="23" xfId="0" applyNumberFormat="1" applyFont="1" applyFill="1" applyBorder="1" applyAlignment="1" applyProtection="1">
      <alignment/>
      <protection/>
    </xf>
    <xf numFmtId="3" fontId="8" fillId="34" borderId="11" xfId="58" applyNumberFormat="1" applyFont="1" applyFill="1" applyBorder="1" applyAlignment="1" applyProtection="1">
      <alignment/>
      <protection/>
    </xf>
    <xf numFmtId="181" fontId="10" fillId="34" borderId="0" xfId="69" applyNumberFormat="1" applyFont="1" applyFill="1" applyBorder="1" applyAlignment="1" applyProtection="1">
      <alignment horizontal="center"/>
      <protection/>
    </xf>
    <xf numFmtId="0" fontId="66" fillId="34" borderId="13" xfId="0" applyFont="1" applyFill="1" applyBorder="1" applyAlignment="1" applyProtection="1">
      <alignment/>
      <protection/>
    </xf>
    <xf numFmtId="0" fontId="8" fillId="34" borderId="0" xfId="57" applyFont="1" applyFill="1" applyBorder="1" applyAlignment="1" applyProtection="1">
      <alignment horizontal="left"/>
      <protection/>
    </xf>
    <xf numFmtId="0" fontId="8" fillId="34" borderId="0" xfId="57" applyFont="1" applyFill="1" applyBorder="1" applyProtection="1">
      <alignment/>
      <protection/>
    </xf>
    <xf numFmtId="181" fontId="63" fillId="34" borderId="25" xfId="0" applyNumberFormat="1" applyFont="1" applyFill="1" applyBorder="1" applyAlignment="1" applyProtection="1">
      <alignment/>
      <protection/>
    </xf>
    <xf numFmtId="3" fontId="10" fillId="34" borderId="13" xfId="58" applyNumberFormat="1" applyFont="1" applyFill="1" applyBorder="1" applyAlignment="1" applyProtection="1">
      <alignment/>
      <protection/>
    </xf>
    <xf numFmtId="183" fontId="8" fillId="34" borderId="16" xfId="58" applyNumberFormat="1" applyFont="1" applyFill="1" applyBorder="1" applyAlignment="1" applyProtection="1">
      <alignment/>
      <protection/>
    </xf>
    <xf numFmtId="0" fontId="14" fillId="34" borderId="0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180" fontId="10" fillId="34" borderId="18" xfId="69" applyFont="1" applyFill="1" applyBorder="1" applyAlignment="1" applyProtection="1">
      <alignment horizontal="right"/>
      <protection/>
    </xf>
    <xf numFmtId="0" fontId="0" fillId="34" borderId="11" xfId="0" applyFill="1" applyBorder="1" applyAlignment="1" applyProtection="1">
      <alignment/>
      <protection/>
    </xf>
    <xf numFmtId="3" fontId="8" fillId="34" borderId="11" xfId="58" applyNumberFormat="1" applyFont="1" applyFill="1" applyBorder="1" applyAlignment="1" applyProtection="1">
      <alignment horizontal="right"/>
      <protection/>
    </xf>
    <xf numFmtId="3" fontId="8" fillId="34" borderId="16" xfId="58" applyNumberFormat="1" applyFont="1" applyFill="1" applyBorder="1" applyAlignment="1" applyProtection="1">
      <alignment horizontal="right"/>
      <protection/>
    </xf>
    <xf numFmtId="3" fontId="8" fillId="34" borderId="0" xfId="0" applyNumberFormat="1" applyFont="1" applyFill="1" applyBorder="1" applyAlignment="1" applyProtection="1">
      <alignment horizontal="center"/>
      <protection/>
    </xf>
    <xf numFmtId="3" fontId="10" fillId="34" borderId="0" xfId="0" applyNumberFormat="1" applyFont="1" applyFill="1" applyBorder="1" applyAlignment="1" applyProtection="1">
      <alignment horizontal="center"/>
      <protection/>
    </xf>
    <xf numFmtId="181" fontId="65" fillId="34" borderId="0" xfId="0" applyNumberFormat="1" applyFont="1" applyFill="1" applyAlignment="1" applyProtection="1">
      <alignment/>
      <protection/>
    </xf>
    <xf numFmtId="0" fontId="65" fillId="34" borderId="0" xfId="0" applyFont="1" applyFill="1" applyAlignment="1" applyProtection="1">
      <alignment/>
      <protection/>
    </xf>
    <xf numFmtId="0" fontId="66" fillId="34" borderId="0" xfId="0" applyFont="1" applyFill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8" fillId="34" borderId="0" xfId="58" applyFont="1" applyFill="1" applyBorder="1" applyAlignment="1" applyProtection="1">
      <alignment horizontal="center"/>
      <protection/>
    </xf>
    <xf numFmtId="183" fontId="10" fillId="34" borderId="0" xfId="0" applyNumberFormat="1" applyFont="1" applyFill="1" applyBorder="1" applyAlignment="1" applyProtection="1">
      <alignment horizontal="center" vertical="center"/>
      <protection/>
    </xf>
    <xf numFmtId="3" fontId="10" fillId="34" borderId="0" xfId="58" applyNumberFormat="1" applyFont="1" applyFill="1" applyBorder="1" applyProtection="1">
      <alignment/>
      <protection/>
    </xf>
    <xf numFmtId="3" fontId="65" fillId="34" borderId="0" xfId="0" applyNumberFormat="1" applyFont="1" applyFill="1" applyBorder="1" applyAlignment="1" applyProtection="1">
      <alignment/>
      <protection/>
    </xf>
    <xf numFmtId="3" fontId="10" fillId="34" borderId="0" xfId="55" applyNumberFormat="1" applyFont="1" applyFill="1" applyBorder="1" applyAlignment="1" applyProtection="1">
      <alignment horizontal="left" vertical="top"/>
      <protection/>
    </xf>
    <xf numFmtId="3" fontId="10" fillId="34" borderId="0" xfId="55" applyNumberFormat="1" applyFont="1" applyFill="1" applyBorder="1" applyAlignment="1" applyProtection="1">
      <alignment horizontal="left" vertical="top" wrapText="1"/>
      <protection/>
    </xf>
    <xf numFmtId="3" fontId="65" fillId="34" borderId="0" xfId="0" applyNumberFormat="1" applyFont="1" applyFill="1" applyAlignment="1" applyProtection="1">
      <alignment/>
      <protection/>
    </xf>
    <xf numFmtId="0" fontId="3" fillId="34" borderId="0" xfId="58" applyFont="1" applyFill="1" applyAlignment="1" applyProtection="1">
      <alignment horizontal="left" vertical="top" wrapText="1"/>
      <protection/>
    </xf>
    <xf numFmtId="181" fontId="3" fillId="34" borderId="0" xfId="58" applyNumberFormat="1" applyFont="1" applyFill="1" applyAlignment="1" applyProtection="1">
      <alignment horizontal="left" vertical="top" wrapText="1"/>
      <protection/>
    </xf>
    <xf numFmtId="0" fontId="67" fillId="34" borderId="0" xfId="0" applyFont="1" applyFill="1" applyAlignment="1" applyProtection="1">
      <alignment/>
      <protection/>
    </xf>
    <xf numFmtId="181" fontId="67" fillId="34" borderId="0" xfId="0" applyNumberFormat="1" applyFont="1" applyFill="1" applyAlignment="1" applyProtection="1">
      <alignment/>
      <protection/>
    </xf>
    <xf numFmtId="0" fontId="10" fillId="0" borderId="23" xfId="69" applyNumberFormat="1" applyFont="1" applyFill="1" applyBorder="1" applyAlignment="1" applyProtection="1">
      <alignment/>
      <protection locked="0"/>
    </xf>
    <xf numFmtId="0" fontId="10" fillId="0" borderId="0" xfId="69" applyNumberFormat="1" applyFont="1" applyFill="1" applyBorder="1" applyAlignment="1" applyProtection="1">
      <alignment/>
      <protection locked="0"/>
    </xf>
    <xf numFmtId="0" fontId="10" fillId="0" borderId="11" xfId="69" applyNumberFormat="1" applyFont="1" applyFill="1" applyBorder="1" applyAlignment="1" applyProtection="1">
      <alignment/>
      <protection locked="0"/>
    </xf>
    <xf numFmtId="181" fontId="10" fillId="0" borderId="11" xfId="58" applyNumberFormat="1" applyFont="1" applyFill="1" applyBorder="1" applyAlignment="1" applyProtection="1">
      <alignment horizontal="right"/>
      <protection locked="0"/>
    </xf>
    <xf numFmtId="0" fontId="10" fillId="0" borderId="18" xfId="58" applyFont="1" applyFill="1" applyBorder="1" applyAlignment="1" applyProtection="1">
      <alignment horizontal="right"/>
      <protection locked="0"/>
    </xf>
    <xf numFmtId="3" fontId="10" fillId="0" borderId="18" xfId="58" applyNumberFormat="1" applyFont="1" applyFill="1" applyBorder="1" applyAlignment="1" applyProtection="1">
      <alignment horizontal="right"/>
      <protection locked="0"/>
    </xf>
    <xf numFmtId="0" fontId="10" fillId="0" borderId="23" xfId="58" applyFont="1" applyFill="1" applyBorder="1" applyAlignment="1" applyProtection="1">
      <alignment/>
      <protection/>
    </xf>
    <xf numFmtId="0" fontId="10" fillId="0" borderId="0" xfId="58" applyFont="1" applyFill="1" applyBorder="1" applyAlignment="1" applyProtection="1">
      <alignment/>
      <protection/>
    </xf>
    <xf numFmtId="0" fontId="10" fillId="0" borderId="11" xfId="58" applyFont="1" applyFill="1" applyBorder="1" applyAlignment="1" applyProtection="1">
      <alignment/>
      <protection/>
    </xf>
    <xf numFmtId="181" fontId="10" fillId="0" borderId="11" xfId="58" applyNumberFormat="1" applyFont="1" applyFill="1" applyBorder="1" applyAlignment="1" applyProtection="1">
      <alignment horizontal="right"/>
      <protection/>
    </xf>
    <xf numFmtId="0" fontId="10" fillId="0" borderId="18" xfId="58" applyFont="1" applyFill="1" applyBorder="1" applyAlignment="1" applyProtection="1">
      <alignment horizontal="right"/>
      <protection/>
    </xf>
    <xf numFmtId="3" fontId="10" fillId="0" borderId="18" xfId="58" applyNumberFormat="1" applyFont="1" applyFill="1" applyBorder="1" applyAlignment="1" applyProtection="1">
      <alignment horizontal="right"/>
      <protection/>
    </xf>
    <xf numFmtId="0" fontId="8" fillId="0" borderId="23" xfId="58" applyFont="1" applyFill="1" applyBorder="1" applyAlignment="1" applyProtection="1">
      <alignment/>
      <protection/>
    </xf>
    <xf numFmtId="0" fontId="8" fillId="0" borderId="0" xfId="58" applyFont="1" applyFill="1" applyBorder="1" applyAlignment="1" applyProtection="1">
      <alignment/>
      <protection/>
    </xf>
    <xf numFmtId="0" fontId="8" fillId="0" borderId="11" xfId="58" applyFont="1" applyFill="1" applyBorder="1" applyAlignment="1" applyProtection="1">
      <alignment/>
      <protection/>
    </xf>
    <xf numFmtId="0" fontId="10" fillId="0" borderId="23" xfId="58" applyFont="1" applyFill="1" applyBorder="1" applyAlignment="1" applyProtection="1">
      <alignment/>
      <protection locked="0"/>
    </xf>
    <xf numFmtId="0" fontId="10" fillId="0" borderId="0" xfId="58" applyFont="1" applyFill="1" applyBorder="1" applyAlignment="1" applyProtection="1">
      <alignment/>
      <protection locked="0"/>
    </xf>
    <xf numFmtId="0" fontId="10" fillId="0" borderId="11" xfId="58" applyFont="1" applyFill="1" applyBorder="1" applyAlignment="1" applyProtection="1">
      <alignment/>
      <protection locked="0"/>
    </xf>
    <xf numFmtId="181" fontId="10" fillId="0" borderId="11" xfId="69" applyNumberFormat="1" applyFont="1" applyFill="1" applyBorder="1" applyAlignment="1" applyProtection="1">
      <alignment horizontal="right"/>
      <protection locked="0"/>
    </xf>
    <xf numFmtId="180" fontId="10" fillId="0" borderId="18" xfId="69" applyFont="1" applyFill="1" applyBorder="1" applyAlignment="1" applyProtection="1">
      <alignment horizontal="right"/>
      <protection locked="0"/>
    </xf>
    <xf numFmtId="0" fontId="8" fillId="0" borderId="23" xfId="58" applyFont="1" applyFill="1" applyBorder="1" applyAlignment="1" applyProtection="1">
      <alignment/>
      <protection locked="0"/>
    </xf>
    <xf numFmtId="0" fontId="10" fillId="0" borderId="0" xfId="58" applyFont="1" applyFill="1" applyBorder="1" applyAlignment="1" applyProtection="1">
      <alignment horizontal="center"/>
      <protection/>
    </xf>
    <xf numFmtId="0" fontId="10" fillId="0" borderId="11" xfId="58" applyFont="1" applyFill="1" applyBorder="1" applyAlignment="1" applyProtection="1">
      <alignment horizontal="center"/>
      <protection/>
    </xf>
    <xf numFmtId="181" fontId="10" fillId="0" borderId="11" xfId="69" applyNumberFormat="1" applyFont="1" applyFill="1" applyBorder="1" applyAlignment="1" applyProtection="1">
      <alignment horizontal="right"/>
      <protection/>
    </xf>
    <xf numFmtId="180" fontId="10" fillId="0" borderId="18" xfId="69" applyFont="1" applyFill="1" applyBorder="1" applyAlignment="1" applyProtection="1">
      <alignment horizontal="right"/>
      <protection/>
    </xf>
    <xf numFmtId="0" fontId="10" fillId="0" borderId="23" xfId="69" applyNumberFormat="1" applyFont="1" applyFill="1" applyBorder="1" applyAlignment="1" applyProtection="1">
      <alignment/>
      <protection/>
    </xf>
    <xf numFmtId="0" fontId="10" fillId="0" borderId="0" xfId="69" applyNumberFormat="1" applyFont="1" applyFill="1" applyBorder="1" applyAlignment="1" applyProtection="1">
      <alignment/>
      <protection/>
    </xf>
    <xf numFmtId="0" fontId="10" fillId="0" borderId="11" xfId="69" applyNumberFormat="1" applyFont="1" applyFill="1" applyBorder="1" applyAlignment="1" applyProtection="1">
      <alignment/>
      <protection/>
    </xf>
    <xf numFmtId="0" fontId="8" fillId="0" borderId="23" xfId="69" applyNumberFormat="1" applyFont="1" applyFill="1" applyBorder="1" applyAlignment="1" applyProtection="1">
      <alignment/>
      <protection/>
    </xf>
    <xf numFmtId="0" fontId="10" fillId="0" borderId="23" xfId="69" applyNumberFormat="1" applyFont="1" applyFill="1" applyBorder="1" applyAlignment="1" applyProtection="1">
      <alignment horizontal="left"/>
      <protection locked="0"/>
    </xf>
    <xf numFmtId="0" fontId="10" fillId="0" borderId="0" xfId="69" applyNumberFormat="1" applyFont="1" applyFill="1" applyBorder="1" applyAlignment="1" applyProtection="1">
      <alignment horizontal="left"/>
      <protection locked="0"/>
    </xf>
    <xf numFmtId="0" fontId="10" fillId="0" borderId="11" xfId="69" applyNumberFormat="1" applyFont="1" applyFill="1" applyBorder="1" applyAlignment="1" applyProtection="1">
      <alignment horizontal="left"/>
      <protection locked="0"/>
    </xf>
    <xf numFmtId="17" fontId="10" fillId="0" borderId="24" xfId="69" applyNumberFormat="1" applyFont="1" applyFill="1" applyBorder="1" applyAlignment="1" applyProtection="1">
      <alignment/>
      <protection locked="0"/>
    </xf>
    <xf numFmtId="0" fontId="66" fillId="0" borderId="14" xfId="0" applyFont="1" applyFill="1" applyBorder="1" applyAlignment="1" applyProtection="1">
      <alignment/>
      <protection/>
    </xf>
    <xf numFmtId="181" fontId="10" fillId="0" borderId="14" xfId="69" applyNumberFormat="1" applyFont="1" applyFill="1" applyBorder="1" applyAlignment="1" applyProtection="1">
      <alignment/>
      <protection locked="0"/>
    </xf>
    <xf numFmtId="180" fontId="10" fillId="0" borderId="23" xfId="69" applyFont="1" applyFill="1" applyBorder="1" applyAlignment="1" applyProtection="1">
      <alignment/>
      <protection locked="0"/>
    </xf>
    <xf numFmtId="180" fontId="10" fillId="0" borderId="0" xfId="69" applyFont="1" applyFill="1" applyBorder="1" applyAlignment="1" applyProtection="1">
      <alignment/>
      <protection/>
    </xf>
    <xf numFmtId="181" fontId="10" fillId="0" borderId="0" xfId="69" applyNumberFormat="1" applyFont="1" applyFill="1" applyBorder="1" applyAlignment="1" applyProtection="1">
      <alignment/>
      <protection locked="0"/>
    </xf>
    <xf numFmtId="180" fontId="10" fillId="0" borderId="25" xfId="69" applyFont="1" applyFill="1" applyBorder="1" applyAlignment="1" applyProtection="1">
      <alignment/>
      <protection locked="0"/>
    </xf>
    <xf numFmtId="180" fontId="10" fillId="0" borderId="13" xfId="69" applyFont="1" applyFill="1" applyBorder="1" applyAlignment="1" applyProtection="1">
      <alignment/>
      <protection/>
    </xf>
    <xf numFmtId="181" fontId="10" fillId="0" borderId="13" xfId="69" applyNumberFormat="1" applyFont="1" applyFill="1" applyBorder="1" applyAlignment="1" applyProtection="1">
      <alignment/>
      <protection locked="0"/>
    </xf>
    <xf numFmtId="182" fontId="8" fillId="0" borderId="24" xfId="69" applyNumberFormat="1" applyFont="1" applyFill="1" applyBorder="1" applyAlignment="1" applyProtection="1">
      <alignment horizontal="left" vertical="center"/>
      <protection locked="0"/>
    </xf>
    <xf numFmtId="0" fontId="10" fillId="0" borderId="14" xfId="57" applyFont="1" applyFill="1" applyBorder="1" applyProtection="1">
      <alignment/>
      <protection/>
    </xf>
    <xf numFmtId="3" fontId="8" fillId="0" borderId="22" xfId="57" applyNumberFormat="1" applyFont="1" applyFill="1" applyBorder="1" applyAlignment="1" applyProtection="1">
      <alignment horizontal="right"/>
      <protection locked="0"/>
    </xf>
    <xf numFmtId="0" fontId="8" fillId="0" borderId="23" xfId="57" applyFont="1" applyFill="1" applyBorder="1" applyAlignment="1" applyProtection="1">
      <alignment/>
      <protection locked="0"/>
    </xf>
    <xf numFmtId="0" fontId="8" fillId="0" borderId="0" xfId="57" applyFont="1" applyFill="1" applyBorder="1" applyAlignment="1" applyProtection="1">
      <alignment/>
      <protection/>
    </xf>
    <xf numFmtId="3" fontId="8" fillId="0" borderId="11" xfId="57" applyNumberFormat="1" applyFont="1" applyFill="1" applyBorder="1" applyAlignment="1" applyProtection="1">
      <alignment horizontal="right"/>
      <protection locked="0"/>
    </xf>
    <xf numFmtId="0" fontId="8" fillId="0" borderId="23" xfId="57" applyFont="1" applyFill="1" applyBorder="1" applyAlignment="1" applyProtection="1">
      <alignment horizontal="left"/>
      <protection locked="0"/>
    </xf>
    <xf numFmtId="0" fontId="10" fillId="0" borderId="0" xfId="57" applyFont="1" applyFill="1" applyBorder="1" applyProtection="1">
      <alignment/>
      <protection/>
    </xf>
    <xf numFmtId="0" fontId="66" fillId="0" borderId="0" xfId="0" applyFont="1" applyFill="1" applyBorder="1" applyAlignment="1" applyProtection="1">
      <alignment/>
      <protection/>
    </xf>
    <xf numFmtId="181" fontId="10" fillId="0" borderId="0" xfId="69" applyNumberFormat="1" applyFont="1" applyFill="1" applyBorder="1" applyAlignment="1" applyProtection="1">
      <alignment horizontal="center"/>
      <protection/>
    </xf>
    <xf numFmtId="10" fontId="8" fillId="0" borderId="11" xfId="71" applyNumberFormat="1" applyFont="1" applyFill="1" applyBorder="1" applyAlignment="1" applyProtection="1">
      <alignment horizontal="right"/>
      <protection locked="0"/>
    </xf>
    <xf numFmtId="0" fontId="8" fillId="0" borderId="25" xfId="57" applyFont="1" applyFill="1" applyBorder="1" applyAlignment="1" applyProtection="1">
      <alignment horizontal="left"/>
      <protection locked="0"/>
    </xf>
    <xf numFmtId="181" fontId="10" fillId="0" borderId="13" xfId="69" applyNumberFormat="1" applyFont="1" applyFill="1" applyBorder="1" applyAlignment="1" applyProtection="1">
      <alignment horizontal="center"/>
      <protection/>
    </xf>
    <xf numFmtId="0" fontId="66" fillId="0" borderId="13" xfId="0" applyFont="1" applyFill="1" applyBorder="1" applyAlignment="1" applyProtection="1">
      <alignment/>
      <protection/>
    </xf>
    <xf numFmtId="3" fontId="8" fillId="0" borderId="16" xfId="57" applyNumberFormat="1" applyFont="1" applyFill="1" applyBorder="1" applyAlignment="1" applyProtection="1">
      <alignment horizontal="right"/>
      <protection locked="0"/>
    </xf>
    <xf numFmtId="0" fontId="10" fillId="0" borderId="24" xfId="58" applyFont="1" applyFill="1" applyBorder="1" applyAlignment="1" applyProtection="1">
      <alignment/>
      <protection locked="0"/>
    </xf>
    <xf numFmtId="0" fontId="10" fillId="0" borderId="14" xfId="58" applyFont="1" applyFill="1" applyBorder="1" applyAlignment="1" applyProtection="1">
      <alignment/>
      <protection locked="0"/>
    </xf>
    <xf numFmtId="0" fontId="10" fillId="0" borderId="22" xfId="58" applyFont="1" applyFill="1" applyBorder="1" applyAlignment="1" applyProtection="1">
      <alignment/>
      <protection locked="0"/>
    </xf>
    <xf numFmtId="181" fontId="10" fillId="0" borderId="18" xfId="58" applyNumberFormat="1" applyFont="1" applyFill="1" applyBorder="1" applyAlignment="1" applyProtection="1">
      <alignment horizontal="right"/>
      <protection locked="0"/>
    </xf>
    <xf numFmtId="3" fontId="10" fillId="0" borderId="18" xfId="69" applyNumberFormat="1" applyFont="1" applyFill="1" applyBorder="1" applyAlignment="1" applyProtection="1">
      <alignment horizontal="right"/>
      <protection locked="0"/>
    </xf>
    <xf numFmtId="181" fontId="10" fillId="0" borderId="24" xfId="58" applyNumberFormat="1" applyFont="1" applyFill="1" applyBorder="1" applyAlignment="1" applyProtection="1">
      <alignment horizontal="right"/>
      <protection locked="0"/>
    </xf>
    <xf numFmtId="181" fontId="10" fillId="0" borderId="19" xfId="58" applyNumberFormat="1" applyFont="1" applyFill="1" applyBorder="1" applyAlignment="1" applyProtection="1">
      <alignment horizontal="right"/>
      <protection locked="0"/>
    </xf>
    <xf numFmtId="3" fontId="10" fillId="0" borderId="24" xfId="69" applyNumberFormat="1" applyFont="1" applyFill="1" applyBorder="1" applyAlignment="1" applyProtection="1">
      <alignment horizontal="right"/>
      <protection locked="0"/>
    </xf>
    <xf numFmtId="181" fontId="10" fillId="0" borderId="23" xfId="58" applyNumberFormat="1" applyFont="1" applyFill="1" applyBorder="1" applyAlignment="1" applyProtection="1">
      <alignment horizontal="right"/>
      <protection locked="0"/>
    </xf>
    <xf numFmtId="3" fontId="10" fillId="0" borderId="23" xfId="69" applyNumberFormat="1" applyFont="1" applyFill="1" applyBorder="1" applyAlignment="1" applyProtection="1">
      <alignment horizontal="right"/>
      <protection locked="0"/>
    </xf>
    <xf numFmtId="180" fontId="8" fillId="0" borderId="0" xfId="69" applyFont="1" applyFill="1" applyBorder="1" applyAlignment="1" applyProtection="1">
      <alignment vertical="center"/>
      <protection locked="0"/>
    </xf>
    <xf numFmtId="0" fontId="10" fillId="0" borderId="25" xfId="58" applyFont="1" applyFill="1" applyBorder="1" applyAlignment="1" applyProtection="1">
      <alignment horizontal="center" vertical="center"/>
      <protection locked="0"/>
    </xf>
    <xf numFmtId="0" fontId="10" fillId="0" borderId="16" xfId="58" applyFont="1" applyFill="1" applyBorder="1" applyAlignment="1" applyProtection="1">
      <alignment horizontal="center" vertical="center"/>
      <protection locked="0"/>
    </xf>
    <xf numFmtId="0" fontId="8" fillId="36" borderId="21" xfId="58" applyFont="1" applyFill="1" applyBorder="1" applyAlignment="1" applyProtection="1">
      <alignment horizontal="left"/>
      <protection/>
    </xf>
    <xf numFmtId="0" fontId="8" fillId="36" borderId="17" xfId="58" applyFont="1" applyFill="1" applyBorder="1" applyAlignment="1" applyProtection="1">
      <alignment horizontal="left"/>
      <protection/>
    </xf>
    <xf numFmtId="0" fontId="10" fillId="0" borderId="23" xfId="58" applyFont="1" applyFill="1" applyBorder="1" applyAlignment="1" applyProtection="1">
      <alignment horizontal="center" vertical="center"/>
      <protection locked="0"/>
    </xf>
    <xf numFmtId="0" fontId="10" fillId="0" borderId="11" xfId="58" applyFont="1" applyFill="1" applyBorder="1" applyAlignment="1" applyProtection="1">
      <alignment horizontal="center" vertical="center"/>
      <protection locked="0"/>
    </xf>
    <xf numFmtId="183" fontId="10" fillId="34" borderId="12" xfId="0" applyNumberFormat="1" applyFont="1" applyFill="1" applyBorder="1" applyAlignment="1" applyProtection="1">
      <alignment horizontal="center"/>
      <protection/>
    </xf>
    <xf numFmtId="0" fontId="68" fillId="40" borderId="25" xfId="0" applyFont="1" applyFill="1" applyBorder="1" applyAlignment="1" applyProtection="1">
      <alignment horizontal="center"/>
      <protection/>
    </xf>
    <xf numFmtId="0" fontId="68" fillId="40" borderId="13" xfId="0" applyFont="1" applyFill="1" applyBorder="1" applyAlignment="1" applyProtection="1">
      <alignment horizontal="center"/>
      <protection/>
    </xf>
    <xf numFmtId="0" fontId="68" fillId="40" borderId="16" xfId="0" applyFont="1" applyFill="1" applyBorder="1" applyAlignment="1" applyProtection="1">
      <alignment horizontal="center"/>
      <protection/>
    </xf>
    <xf numFmtId="3" fontId="8" fillId="38" borderId="12" xfId="0" applyNumberFormat="1" applyFont="1" applyFill="1" applyBorder="1" applyAlignment="1" applyProtection="1">
      <alignment horizontal="center"/>
      <protection/>
    </xf>
    <xf numFmtId="3" fontId="8" fillId="38" borderId="14" xfId="0" applyNumberFormat="1" applyFont="1" applyFill="1" applyBorder="1" applyAlignment="1" applyProtection="1">
      <alignment horizontal="center" vertical="center"/>
      <protection/>
    </xf>
    <xf numFmtId="3" fontId="8" fillId="38" borderId="0" xfId="0" applyNumberFormat="1" applyFont="1" applyFill="1" applyBorder="1" applyAlignment="1" applyProtection="1">
      <alignment horizontal="center" vertical="center"/>
      <protection/>
    </xf>
    <xf numFmtId="0" fontId="0" fillId="34" borderId="23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/>
      <protection/>
    </xf>
    <xf numFmtId="0" fontId="8" fillId="38" borderId="12" xfId="0" applyFont="1" applyFill="1" applyBorder="1" applyAlignment="1" applyProtection="1">
      <alignment horizontal="center" vertical="center" wrapText="1"/>
      <protection locked="0"/>
    </xf>
    <xf numFmtId="0" fontId="13" fillId="0" borderId="23" xfId="58" applyFont="1" applyFill="1" applyBorder="1" applyAlignment="1" applyProtection="1">
      <alignment horizontal="left" vertical="center" wrapText="1"/>
      <protection locked="0"/>
    </xf>
    <xf numFmtId="0" fontId="13" fillId="0" borderId="0" xfId="58" applyFont="1" applyFill="1" applyBorder="1" applyAlignment="1" applyProtection="1">
      <alignment horizontal="left" vertical="center" wrapText="1"/>
      <protection locked="0"/>
    </xf>
    <xf numFmtId="0" fontId="13" fillId="0" borderId="11" xfId="58" applyFont="1" applyFill="1" applyBorder="1" applyAlignment="1" applyProtection="1">
      <alignment horizontal="left" vertical="center" wrapText="1"/>
      <protection locked="0"/>
    </xf>
    <xf numFmtId="3" fontId="12" fillId="34" borderId="24" xfId="58" applyNumberFormat="1" applyFont="1" applyFill="1" applyBorder="1" applyAlignment="1" applyProtection="1">
      <alignment horizontal="left"/>
      <protection/>
    </xf>
    <xf numFmtId="3" fontId="12" fillId="34" borderId="14" xfId="58" applyNumberFormat="1" applyFont="1" applyFill="1" applyBorder="1" applyAlignment="1" applyProtection="1">
      <alignment horizontal="left"/>
      <protection/>
    </xf>
    <xf numFmtId="3" fontId="12" fillId="34" borderId="22" xfId="58" applyNumberFormat="1" applyFont="1" applyFill="1" applyBorder="1" applyAlignment="1" applyProtection="1">
      <alignment horizontal="left"/>
      <protection/>
    </xf>
    <xf numFmtId="3" fontId="13" fillId="0" borderId="23" xfId="55" applyNumberFormat="1" applyFont="1" applyFill="1" applyBorder="1" applyAlignment="1" applyProtection="1">
      <alignment horizontal="left" vertical="center" wrapText="1"/>
      <protection locked="0"/>
    </xf>
    <xf numFmtId="3" fontId="13" fillId="0" borderId="0" xfId="55" applyNumberFormat="1" applyFont="1" applyFill="1" applyBorder="1" applyAlignment="1" applyProtection="1">
      <alignment horizontal="left" vertical="center" wrapText="1"/>
      <protection locked="0"/>
    </xf>
    <xf numFmtId="3" fontId="13" fillId="0" borderId="11" xfId="55" applyNumberFormat="1" applyFont="1" applyFill="1" applyBorder="1" applyAlignment="1" applyProtection="1">
      <alignment horizontal="left" vertical="center" wrapText="1"/>
      <protection locked="0"/>
    </xf>
    <xf numFmtId="0" fontId="10" fillId="34" borderId="23" xfId="58" applyFont="1" applyFill="1" applyBorder="1" applyAlignment="1" applyProtection="1">
      <alignment horizontal="center"/>
      <protection/>
    </xf>
    <xf numFmtId="0" fontId="10" fillId="34" borderId="11" xfId="58" applyFont="1" applyFill="1" applyBorder="1" applyAlignment="1" applyProtection="1">
      <alignment horizontal="center"/>
      <protection/>
    </xf>
    <xf numFmtId="0" fontId="13" fillId="0" borderId="25" xfId="58" applyFont="1" applyFill="1" applyBorder="1" applyAlignment="1" applyProtection="1">
      <alignment horizontal="left" vertical="center" wrapText="1"/>
      <protection locked="0"/>
    </xf>
    <xf numFmtId="0" fontId="13" fillId="0" borderId="13" xfId="58" applyFont="1" applyFill="1" applyBorder="1" applyAlignment="1" applyProtection="1">
      <alignment horizontal="left" vertical="center" wrapText="1"/>
      <protection locked="0"/>
    </xf>
    <xf numFmtId="0" fontId="13" fillId="0" borderId="16" xfId="58" applyFont="1" applyFill="1" applyBorder="1" applyAlignment="1" applyProtection="1">
      <alignment horizontal="left" vertical="center" wrapText="1"/>
      <protection locked="0"/>
    </xf>
    <xf numFmtId="0" fontId="10" fillId="34" borderId="12" xfId="58" applyFont="1" applyFill="1" applyBorder="1" applyAlignment="1" applyProtection="1">
      <alignment horizontal="center"/>
      <protection/>
    </xf>
    <xf numFmtId="3" fontId="8" fillId="38" borderId="24" xfId="0" applyNumberFormat="1" applyFont="1" applyFill="1" applyBorder="1" applyAlignment="1" applyProtection="1">
      <alignment horizontal="center" vertical="center"/>
      <protection locked="0"/>
    </xf>
    <xf numFmtId="3" fontId="8" fillId="38" borderId="14" xfId="0" applyNumberFormat="1" applyFont="1" applyFill="1" applyBorder="1" applyAlignment="1" applyProtection="1">
      <alignment horizontal="center" vertical="center"/>
      <protection locked="0"/>
    </xf>
    <xf numFmtId="3" fontId="8" fillId="38" borderId="23" xfId="0" applyNumberFormat="1" applyFont="1" applyFill="1" applyBorder="1" applyAlignment="1" applyProtection="1">
      <alignment horizontal="center" vertical="center"/>
      <protection locked="0"/>
    </xf>
    <xf numFmtId="3" fontId="8" fillId="38" borderId="0" xfId="0" applyNumberFormat="1" applyFont="1" applyFill="1" applyBorder="1" applyAlignment="1" applyProtection="1">
      <alignment horizontal="center" vertical="center"/>
      <protection locked="0"/>
    </xf>
    <xf numFmtId="0" fontId="8" fillId="36" borderId="21" xfId="0" applyFont="1" applyFill="1" applyBorder="1" applyAlignment="1" applyProtection="1">
      <alignment horizontal="left"/>
      <protection/>
    </xf>
    <xf numFmtId="0" fontId="8" fillId="36" borderId="17" xfId="0" applyFont="1" applyFill="1" applyBorder="1" applyAlignment="1" applyProtection="1">
      <alignment horizontal="left"/>
      <protection/>
    </xf>
    <xf numFmtId="0" fontId="8" fillId="36" borderId="24" xfId="58" applyFont="1" applyFill="1" applyBorder="1" applyAlignment="1" applyProtection="1">
      <alignment horizontal="left" vertical="center"/>
      <protection/>
    </xf>
    <xf numFmtId="0" fontId="8" fillId="36" borderId="14" xfId="58" applyFont="1" applyFill="1" applyBorder="1" applyAlignment="1" applyProtection="1">
      <alignment horizontal="left" vertical="center"/>
      <protection/>
    </xf>
    <xf numFmtId="0" fontId="8" fillId="36" borderId="25" xfId="58" applyFont="1" applyFill="1" applyBorder="1" applyAlignment="1" applyProtection="1">
      <alignment horizontal="left" vertical="center"/>
      <protection/>
    </xf>
    <xf numFmtId="0" fontId="8" fillId="36" borderId="13" xfId="58" applyFont="1" applyFill="1" applyBorder="1" applyAlignment="1" applyProtection="1">
      <alignment horizontal="left" vertical="center"/>
      <protection/>
    </xf>
    <xf numFmtId="0" fontId="62" fillId="23" borderId="17" xfId="58" applyFont="1" applyFill="1" applyBorder="1" applyAlignment="1" applyProtection="1">
      <alignment horizontal="center" vertical="center"/>
      <protection/>
    </xf>
    <xf numFmtId="0" fontId="68" fillId="41" borderId="24" xfId="0" applyFont="1" applyFill="1" applyBorder="1" applyAlignment="1" applyProtection="1">
      <alignment horizontal="center" vertical="center"/>
      <protection locked="0"/>
    </xf>
    <xf numFmtId="0" fontId="68" fillId="41" borderId="14" xfId="0" applyFont="1" applyFill="1" applyBorder="1" applyAlignment="1" applyProtection="1">
      <alignment horizontal="center" vertical="center"/>
      <protection locked="0"/>
    </xf>
    <xf numFmtId="0" fontId="68" fillId="41" borderId="22" xfId="0" applyFont="1" applyFill="1" applyBorder="1" applyAlignment="1" applyProtection="1">
      <alignment horizontal="center" vertical="center"/>
      <protection locked="0"/>
    </xf>
    <xf numFmtId="0" fontId="68" fillId="41" borderId="25" xfId="0" applyFont="1" applyFill="1" applyBorder="1" applyAlignment="1" applyProtection="1">
      <alignment horizontal="center" vertical="center"/>
      <protection locked="0"/>
    </xf>
    <xf numFmtId="0" fontId="68" fillId="41" borderId="13" xfId="0" applyFont="1" applyFill="1" applyBorder="1" applyAlignment="1" applyProtection="1">
      <alignment horizontal="center" vertical="center"/>
      <protection locked="0"/>
    </xf>
    <xf numFmtId="0" fontId="68" fillId="41" borderId="16" xfId="0" applyFont="1" applyFill="1" applyBorder="1" applyAlignment="1" applyProtection="1">
      <alignment horizontal="center" vertical="center"/>
      <protection locked="0"/>
    </xf>
    <xf numFmtId="3" fontId="8" fillId="36" borderId="22" xfId="58" applyNumberFormat="1" applyFont="1" applyFill="1" applyBorder="1" applyAlignment="1" applyProtection="1">
      <alignment horizontal="right" vertical="center"/>
      <protection/>
    </xf>
    <xf numFmtId="3" fontId="8" fillId="36" borderId="16" xfId="58" applyNumberFormat="1" applyFont="1" applyFill="1" applyBorder="1" applyAlignment="1" applyProtection="1">
      <alignment horizontal="right" vertical="center"/>
      <protection/>
    </xf>
    <xf numFmtId="0" fontId="68" fillId="41" borderId="24" xfId="0" applyFont="1" applyFill="1" applyBorder="1" applyAlignment="1" applyProtection="1">
      <alignment horizontal="center"/>
      <protection/>
    </xf>
    <xf numFmtId="0" fontId="68" fillId="41" borderId="14" xfId="0" applyFont="1" applyFill="1" applyBorder="1" applyAlignment="1" applyProtection="1">
      <alignment horizontal="center"/>
      <protection/>
    </xf>
    <xf numFmtId="0" fontId="68" fillId="41" borderId="22" xfId="0" applyFont="1" applyFill="1" applyBorder="1" applyAlignment="1" applyProtection="1">
      <alignment horizontal="center"/>
      <protection/>
    </xf>
    <xf numFmtId="3" fontId="8" fillId="38" borderId="22" xfId="0" applyNumberFormat="1" applyFont="1" applyFill="1" applyBorder="1" applyAlignment="1" applyProtection="1">
      <alignment horizontal="center" vertical="center"/>
      <protection/>
    </xf>
    <xf numFmtId="3" fontId="8" fillId="38" borderId="11" xfId="0" applyNumberFormat="1" applyFont="1" applyFill="1" applyBorder="1" applyAlignment="1" applyProtection="1">
      <alignment horizontal="center" vertical="center"/>
      <protection/>
    </xf>
    <xf numFmtId="1" fontId="8" fillId="38" borderId="12" xfId="0" applyNumberFormat="1" applyFont="1" applyFill="1" applyBorder="1" applyAlignment="1" applyProtection="1">
      <alignment horizontal="center" vertical="center"/>
      <protection/>
    </xf>
    <xf numFmtId="0" fontId="62" fillId="23" borderId="21" xfId="58" applyFont="1" applyFill="1" applyBorder="1" applyAlignment="1" applyProtection="1">
      <alignment horizontal="center" vertical="center"/>
      <protection/>
    </xf>
    <xf numFmtId="0" fontId="10" fillId="34" borderId="23" xfId="58" applyFont="1" applyFill="1" applyBorder="1" applyAlignment="1" applyProtection="1">
      <alignment horizontal="left"/>
      <protection/>
    </xf>
    <xf numFmtId="0" fontId="10" fillId="34" borderId="0" xfId="58" applyFont="1" applyFill="1" applyBorder="1" applyAlignment="1" applyProtection="1">
      <alignment horizontal="left"/>
      <protection/>
    </xf>
    <xf numFmtId="0" fontId="10" fillId="34" borderId="11" xfId="58" applyFont="1" applyFill="1" applyBorder="1" applyAlignment="1" applyProtection="1">
      <alignment horizontal="left"/>
      <protection/>
    </xf>
    <xf numFmtId="183" fontId="10" fillId="34" borderId="0" xfId="0" applyNumberFormat="1" applyFont="1" applyFill="1" applyBorder="1" applyAlignment="1" applyProtection="1">
      <alignment horizontal="center" vertical="center"/>
      <protection/>
    </xf>
    <xf numFmtId="183" fontId="10" fillId="34" borderId="13" xfId="0" applyNumberFormat="1" applyFont="1" applyFill="1" applyBorder="1" applyAlignment="1" applyProtection="1">
      <alignment horizontal="center" vertical="center"/>
      <protection/>
    </xf>
    <xf numFmtId="0" fontId="10" fillId="38" borderId="23" xfId="0" applyFont="1" applyFill="1" applyBorder="1" applyAlignment="1" applyProtection="1">
      <alignment horizontal="center" vertical="center"/>
      <protection locked="0"/>
    </xf>
    <xf numFmtId="0" fontId="10" fillId="38" borderId="0" xfId="0" applyFont="1" applyFill="1" applyBorder="1" applyAlignment="1" applyProtection="1">
      <alignment horizontal="center" vertical="center"/>
      <protection locked="0"/>
    </xf>
    <xf numFmtId="0" fontId="10" fillId="38" borderId="25" xfId="0" applyFont="1" applyFill="1" applyBorder="1" applyAlignment="1" applyProtection="1">
      <alignment horizontal="center" vertical="center"/>
      <protection locked="0"/>
    </xf>
    <xf numFmtId="0" fontId="10" fillId="38" borderId="13" xfId="0" applyFont="1" applyFill="1" applyBorder="1" applyAlignment="1" applyProtection="1">
      <alignment horizontal="center" vertical="center"/>
      <protection locked="0"/>
    </xf>
    <xf numFmtId="183" fontId="10" fillId="34" borderId="11" xfId="0" applyNumberFormat="1" applyFont="1" applyFill="1" applyBorder="1" applyAlignment="1" applyProtection="1">
      <alignment horizontal="center" vertical="center"/>
      <protection/>
    </xf>
    <xf numFmtId="183" fontId="10" fillId="34" borderId="16" xfId="0" applyNumberFormat="1" applyFont="1" applyFill="1" applyBorder="1" applyAlignment="1" applyProtection="1">
      <alignment horizontal="center" vertical="center"/>
      <protection/>
    </xf>
    <xf numFmtId="0" fontId="0" fillId="34" borderId="25" xfId="0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 horizontal="center"/>
      <protection/>
    </xf>
    <xf numFmtId="0" fontId="8" fillId="38" borderId="21" xfId="0" applyFont="1" applyFill="1" applyBorder="1" applyAlignment="1" applyProtection="1">
      <alignment horizontal="center"/>
      <protection locked="0"/>
    </xf>
    <xf numFmtId="0" fontId="8" fillId="38" borderId="17" xfId="0" applyFont="1" applyFill="1" applyBorder="1" applyAlignment="1" applyProtection="1">
      <alignment horizontal="center"/>
      <protection locked="0"/>
    </xf>
    <xf numFmtId="0" fontId="8" fillId="38" borderId="15" xfId="0" applyFont="1" applyFill="1" applyBorder="1" applyAlignment="1" applyProtection="1">
      <alignment horizontal="center"/>
      <protection locked="0"/>
    </xf>
    <xf numFmtId="0" fontId="10" fillId="0" borderId="24" xfId="58" applyFont="1" applyFill="1" applyBorder="1" applyAlignment="1" applyProtection="1">
      <alignment horizontal="center"/>
      <protection locked="0"/>
    </xf>
    <xf numFmtId="0" fontId="10" fillId="0" borderId="22" xfId="58" applyFont="1" applyFill="1" applyBorder="1" applyAlignment="1" applyProtection="1">
      <alignment horizontal="center"/>
      <protection locked="0"/>
    </xf>
    <xf numFmtId="0" fontId="10" fillId="0" borderId="23" xfId="58" applyFont="1" applyFill="1" applyBorder="1" applyAlignment="1" applyProtection="1">
      <alignment horizontal="center"/>
      <protection locked="0"/>
    </xf>
    <xf numFmtId="0" fontId="10" fillId="0" borderId="11" xfId="58" applyFont="1" applyFill="1" applyBorder="1" applyAlignment="1" applyProtection="1">
      <alignment horizontal="center"/>
      <protection locked="0"/>
    </xf>
    <xf numFmtId="0" fontId="10" fillId="34" borderId="25" xfId="58" applyFont="1" applyFill="1" applyBorder="1" applyAlignment="1" applyProtection="1">
      <alignment horizontal="left"/>
      <protection/>
    </xf>
    <xf numFmtId="0" fontId="10" fillId="34" borderId="13" xfId="58" applyFont="1" applyFill="1" applyBorder="1" applyAlignment="1" applyProtection="1">
      <alignment horizontal="left"/>
      <protection/>
    </xf>
    <xf numFmtId="0" fontId="10" fillId="34" borderId="16" xfId="58" applyFont="1" applyFill="1" applyBorder="1" applyAlignment="1" applyProtection="1">
      <alignment horizontal="left"/>
      <protection/>
    </xf>
    <xf numFmtId="0" fontId="68" fillId="23" borderId="21" xfId="58" applyFont="1" applyFill="1" applyBorder="1" applyAlignment="1" applyProtection="1">
      <alignment horizontal="left"/>
      <protection/>
    </xf>
    <xf numFmtId="0" fontId="68" fillId="23" borderId="17" xfId="58" applyFont="1" applyFill="1" applyBorder="1" applyAlignment="1" applyProtection="1">
      <alignment horizontal="left"/>
      <protection/>
    </xf>
    <xf numFmtId="0" fontId="8" fillId="36" borderId="21" xfId="58" applyFont="1" applyFill="1" applyBorder="1" applyAlignment="1" applyProtection="1">
      <alignment horizontal="left" vertical="center"/>
      <protection/>
    </xf>
    <xf numFmtId="0" fontId="8" fillId="36" borderId="17" xfId="58" applyFont="1" applyFill="1" applyBorder="1" applyAlignment="1" applyProtection="1">
      <alignment horizontal="left" vertical="center"/>
      <protection/>
    </xf>
    <xf numFmtId="180" fontId="9" fillId="34" borderId="0" xfId="69" applyFont="1" applyFill="1" applyBorder="1" applyAlignment="1" applyProtection="1">
      <alignment horizontal="center" vertical="center"/>
      <protection/>
    </xf>
    <xf numFmtId="2" fontId="11" fillId="0" borderId="0" xfId="69" applyNumberFormat="1" applyFont="1" applyFill="1" applyBorder="1" applyAlignment="1" applyProtection="1">
      <alignment horizontal="center" vertical="center" wrapText="1"/>
      <protection locked="0"/>
    </xf>
    <xf numFmtId="0" fontId="68" fillId="42" borderId="24" xfId="57" applyFont="1" applyFill="1" applyBorder="1" applyAlignment="1" applyProtection="1">
      <alignment horizontal="center"/>
      <protection/>
    </xf>
    <xf numFmtId="0" fontId="68" fillId="42" borderId="14" xfId="57" applyFont="1" applyFill="1" applyBorder="1" applyAlignment="1" applyProtection="1">
      <alignment horizontal="center"/>
      <protection/>
    </xf>
    <xf numFmtId="0" fontId="68" fillId="42" borderId="22" xfId="57" applyFont="1" applyFill="1" applyBorder="1" applyAlignment="1" applyProtection="1">
      <alignment horizontal="center"/>
      <protection/>
    </xf>
    <xf numFmtId="0" fontId="68" fillId="42" borderId="21" xfId="57" applyFont="1" applyFill="1" applyBorder="1" applyAlignment="1" applyProtection="1">
      <alignment horizontal="center"/>
      <protection/>
    </xf>
    <xf numFmtId="0" fontId="68" fillId="42" borderId="17" xfId="57" applyFont="1" applyFill="1" applyBorder="1" applyAlignment="1" applyProtection="1">
      <alignment horizontal="center"/>
      <protection/>
    </xf>
    <xf numFmtId="0" fontId="68" fillId="42" borderId="15" xfId="57" applyFont="1" applyFill="1" applyBorder="1" applyAlignment="1" applyProtection="1">
      <alignment horizontal="center"/>
      <protection/>
    </xf>
    <xf numFmtId="17" fontId="68" fillId="42" borderId="21" xfId="69" applyNumberFormat="1" applyFont="1" applyFill="1" applyBorder="1" applyAlignment="1" applyProtection="1">
      <alignment horizontal="center"/>
      <protection/>
    </xf>
    <xf numFmtId="17" fontId="68" fillId="42" borderId="17" xfId="69" applyNumberFormat="1" applyFont="1" applyFill="1" applyBorder="1" applyAlignment="1" applyProtection="1">
      <alignment horizontal="center"/>
      <protection/>
    </xf>
    <xf numFmtId="17" fontId="68" fillId="42" borderId="15" xfId="69" applyNumberFormat="1" applyFont="1" applyFill="1" applyBorder="1" applyAlignment="1" applyProtection="1">
      <alignment horizontal="center"/>
      <protection/>
    </xf>
    <xf numFmtId="0" fontId="8" fillId="34" borderId="0" xfId="58" applyFont="1" applyFill="1" applyBorder="1" applyAlignment="1" applyProtection="1">
      <alignment horizontal="center" vertical="center"/>
      <protection/>
    </xf>
    <xf numFmtId="0" fontId="10" fillId="0" borderId="25" xfId="58" applyFont="1" applyFill="1" applyBorder="1" applyAlignment="1" applyProtection="1">
      <alignment horizontal="center"/>
      <protection locked="0"/>
    </xf>
    <xf numFmtId="0" fontId="10" fillId="0" borderId="16" xfId="58" applyFont="1" applyFill="1" applyBorder="1" applyAlignment="1" applyProtection="1">
      <alignment horizontal="center"/>
      <protection locked="0"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60" fillId="34" borderId="13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47650"/>
          <a:ext cx="218122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126</xdr:row>
      <xdr:rowOff>9525</xdr:rowOff>
    </xdr:from>
    <xdr:to>
      <xdr:col>2</xdr:col>
      <xdr:colOff>628650</xdr:colOff>
      <xdr:row>126</xdr:row>
      <xdr:rowOff>123825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962025" y="2974657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showGridLines="0" tabSelected="1" view="pageBreakPreview" zoomScale="70" zoomScaleNormal="68" zoomScaleSheetLayoutView="70" zoomScalePageLayoutView="80" workbookViewId="0" topLeftCell="A1">
      <selection activeCell="A1" sqref="A1"/>
    </sheetView>
  </sheetViews>
  <sheetFormatPr defaultColWidth="11.421875" defaultRowHeight="15"/>
  <cols>
    <col min="1" max="1" width="14.421875" style="0" customWidth="1"/>
    <col min="2" max="3" width="18.7109375" style="0" customWidth="1"/>
    <col min="4" max="4" width="21.57421875" style="0" customWidth="1"/>
    <col min="5" max="5" width="15.7109375" style="0" customWidth="1"/>
    <col min="6" max="6" width="22.421875" style="0" customWidth="1"/>
    <col min="7" max="8" width="18.7109375" style="0" customWidth="1"/>
    <col min="9" max="9" width="19.8515625" style="0" customWidth="1"/>
    <col min="10" max="10" width="15.28125" style="0" bestFit="1" customWidth="1"/>
    <col min="11" max="11" width="25.00390625" style="0" customWidth="1"/>
    <col min="12" max="12" width="22.28125" style="0" customWidth="1"/>
    <col min="13" max="14" width="15.28125" style="0" bestFit="1" customWidth="1"/>
    <col min="15" max="18" width="11.421875" style="0" customWidth="1"/>
  </cols>
  <sheetData>
    <row r="1" spans="1:11" ht="15">
      <c r="A1" s="88"/>
      <c r="B1" s="88"/>
      <c r="C1" s="88"/>
      <c r="D1" s="88"/>
      <c r="E1" s="88"/>
      <c r="F1" s="88"/>
      <c r="G1" s="89"/>
      <c r="H1" s="88"/>
      <c r="I1" s="88"/>
      <c r="J1" s="88"/>
      <c r="K1" s="90"/>
    </row>
    <row r="2" spans="1:11" ht="23.25">
      <c r="A2" s="88"/>
      <c r="B2" s="290" t="s">
        <v>8</v>
      </c>
      <c r="C2" s="290"/>
      <c r="D2" s="290"/>
      <c r="E2" s="290"/>
      <c r="F2" s="290"/>
      <c r="G2" s="290"/>
      <c r="H2" s="290"/>
      <c r="I2" s="290"/>
      <c r="J2" s="290"/>
      <c r="K2" s="88"/>
    </row>
    <row r="3" spans="1:11" ht="19.5">
      <c r="A3" s="88"/>
      <c r="B3" s="91"/>
      <c r="C3" s="39"/>
      <c r="D3" s="205"/>
      <c r="E3" s="291" t="s">
        <v>112</v>
      </c>
      <c r="F3" s="291"/>
      <c r="G3" s="291"/>
      <c r="H3" s="205"/>
      <c r="I3" s="40"/>
      <c r="J3" s="39"/>
      <c r="K3" s="6"/>
    </row>
    <row r="4" spans="1:11" ht="19.5">
      <c r="A4" s="88"/>
      <c r="B4" s="91"/>
      <c r="C4" s="39"/>
      <c r="D4" s="291" t="s">
        <v>155</v>
      </c>
      <c r="E4" s="291"/>
      <c r="F4" s="291"/>
      <c r="G4" s="291"/>
      <c r="H4" s="291"/>
      <c r="I4" s="39"/>
      <c r="J4" s="39"/>
      <c r="K4" s="6"/>
    </row>
    <row r="5" spans="1:11" ht="18" customHeight="1">
      <c r="A5" s="88"/>
      <c r="B5" s="92"/>
      <c r="C5" s="92"/>
      <c r="D5" s="93"/>
      <c r="E5" s="94"/>
      <c r="F5" s="94"/>
      <c r="G5" s="50"/>
      <c r="H5" s="94"/>
      <c r="I5" s="92"/>
      <c r="J5" s="95"/>
      <c r="K5" s="7"/>
    </row>
    <row r="6" spans="1:11" ht="18" customHeight="1">
      <c r="A6" s="88"/>
      <c r="B6" s="92"/>
      <c r="C6" s="92"/>
      <c r="D6" s="298" t="s">
        <v>50</v>
      </c>
      <c r="E6" s="299"/>
      <c r="F6" s="299"/>
      <c r="G6" s="299"/>
      <c r="H6" s="299"/>
      <c r="I6" s="299"/>
      <c r="J6" s="300"/>
      <c r="K6" s="7"/>
    </row>
    <row r="7" spans="1:11" ht="18" customHeight="1">
      <c r="A7" s="88"/>
      <c r="B7" s="92"/>
      <c r="C7" s="92"/>
      <c r="D7" s="171" t="s">
        <v>150</v>
      </c>
      <c r="E7" s="172"/>
      <c r="F7" s="172"/>
      <c r="G7" s="173" t="s">
        <v>151</v>
      </c>
      <c r="H7" s="97"/>
      <c r="I7" s="98"/>
      <c r="J7" s="99"/>
      <c r="K7" s="7"/>
    </row>
    <row r="8" spans="1:11" ht="18" customHeight="1">
      <c r="A8" s="88"/>
      <c r="B8" s="92"/>
      <c r="C8" s="92"/>
      <c r="D8" s="174" t="s">
        <v>149</v>
      </c>
      <c r="E8" s="175"/>
      <c r="F8" s="175"/>
      <c r="G8" s="176" t="s">
        <v>45</v>
      </c>
      <c r="H8" s="91"/>
      <c r="I8" s="31"/>
      <c r="J8" s="51"/>
      <c r="K8" s="7"/>
    </row>
    <row r="9" spans="1:11" ht="18" customHeight="1">
      <c r="A9" s="88"/>
      <c r="B9" s="92"/>
      <c r="C9" s="92"/>
      <c r="D9" s="174" t="s">
        <v>148</v>
      </c>
      <c r="E9" s="175"/>
      <c r="F9" s="175"/>
      <c r="G9" s="176" t="s">
        <v>46</v>
      </c>
      <c r="H9" s="91"/>
      <c r="I9" s="31"/>
      <c r="J9" s="51"/>
      <c r="K9" s="100"/>
    </row>
    <row r="10" spans="1:11" ht="18" customHeight="1">
      <c r="A10" s="88"/>
      <c r="B10" s="92"/>
      <c r="C10" s="92"/>
      <c r="D10" s="177" t="s">
        <v>152</v>
      </c>
      <c r="E10" s="178"/>
      <c r="F10" s="178"/>
      <c r="G10" s="179" t="s">
        <v>156</v>
      </c>
      <c r="H10" s="101"/>
      <c r="I10" s="52"/>
      <c r="J10" s="53"/>
      <c r="K10" s="100"/>
    </row>
    <row r="11" spans="1:11" ht="18" customHeight="1">
      <c r="A11" s="88"/>
      <c r="B11" s="92"/>
      <c r="C11" s="92"/>
      <c r="D11" s="102"/>
      <c r="E11" s="30"/>
      <c r="F11" s="30"/>
      <c r="G11" s="102"/>
      <c r="H11" s="91"/>
      <c r="I11" s="31"/>
      <c r="J11" s="44"/>
      <c r="K11" s="100"/>
    </row>
    <row r="12" spans="1:11" ht="18">
      <c r="A12" s="88"/>
      <c r="B12" s="292" t="s">
        <v>51</v>
      </c>
      <c r="C12" s="293"/>
      <c r="D12" s="293"/>
      <c r="E12" s="294"/>
      <c r="F12" s="103"/>
      <c r="G12" s="295" t="s">
        <v>14</v>
      </c>
      <c r="H12" s="296"/>
      <c r="I12" s="296"/>
      <c r="J12" s="297"/>
      <c r="K12" s="7"/>
    </row>
    <row r="13" spans="1:11" ht="18">
      <c r="A13" s="88"/>
      <c r="B13" s="180" t="s">
        <v>160</v>
      </c>
      <c r="C13" s="181"/>
      <c r="D13" s="172"/>
      <c r="E13" s="182">
        <v>18500</v>
      </c>
      <c r="F13" s="92"/>
      <c r="G13" s="104" t="s">
        <v>7</v>
      </c>
      <c r="H13" s="96"/>
      <c r="I13" s="96"/>
      <c r="J13" s="105">
        <f>rendimiento*precio_de_venta</f>
        <v>4717500</v>
      </c>
      <c r="K13" s="7"/>
    </row>
    <row r="14" spans="1:11" ht="21">
      <c r="A14" s="88"/>
      <c r="B14" s="183" t="s">
        <v>158</v>
      </c>
      <c r="C14" s="184"/>
      <c r="D14" s="184"/>
      <c r="E14" s="185">
        <v>255</v>
      </c>
      <c r="F14" s="92"/>
      <c r="G14" s="106" t="s">
        <v>10</v>
      </c>
      <c r="H14" s="92"/>
      <c r="I14" s="92"/>
      <c r="J14" s="107">
        <f>total_mano_obra+total_maquinaria+total_insumos+imprevistos</f>
        <v>3507241.5</v>
      </c>
      <c r="K14" s="7"/>
    </row>
    <row r="15" spans="1:11" ht="18">
      <c r="A15" s="88"/>
      <c r="B15" s="186" t="s">
        <v>9</v>
      </c>
      <c r="C15" s="187"/>
      <c r="D15" s="188"/>
      <c r="E15" s="185">
        <v>15000</v>
      </c>
      <c r="F15" s="92"/>
      <c r="G15" s="106" t="s">
        <v>11</v>
      </c>
      <c r="H15" s="94"/>
      <c r="I15" s="92"/>
      <c r="J15" s="107">
        <f>total_mano_obra+total_maquinaria+total_insumos+imprevistos+total_costos_indirectos</f>
        <v>3807862.2</v>
      </c>
      <c r="K15" s="7"/>
    </row>
    <row r="16" spans="1:11" ht="18">
      <c r="A16" s="88"/>
      <c r="B16" s="186" t="s">
        <v>4</v>
      </c>
      <c r="C16" s="189"/>
      <c r="D16" s="188"/>
      <c r="E16" s="190">
        <v>0.015</v>
      </c>
      <c r="F16" s="92"/>
      <c r="G16" s="106" t="s">
        <v>12</v>
      </c>
      <c r="H16" s="92"/>
      <c r="I16" s="92"/>
      <c r="J16" s="107">
        <f>J13-J14</f>
        <v>1210258.5</v>
      </c>
      <c r="K16" s="7"/>
    </row>
    <row r="17" spans="1:11" ht="18">
      <c r="A17" s="88"/>
      <c r="B17" s="191" t="s">
        <v>5</v>
      </c>
      <c r="C17" s="192"/>
      <c r="D17" s="193"/>
      <c r="E17" s="194">
        <v>12</v>
      </c>
      <c r="F17" s="92"/>
      <c r="G17" s="106" t="s">
        <v>13</v>
      </c>
      <c r="H17" s="92"/>
      <c r="I17" s="92"/>
      <c r="J17" s="107">
        <f>J13-J15</f>
        <v>909637.7999999998</v>
      </c>
      <c r="K17" s="7"/>
    </row>
    <row r="18" spans="1:11" ht="18">
      <c r="A18" s="88"/>
      <c r="B18" s="110"/>
      <c r="C18" s="108"/>
      <c r="D18" s="92"/>
      <c r="E18" s="111"/>
      <c r="F18" s="92"/>
      <c r="G18" s="112" t="s">
        <v>47</v>
      </c>
      <c r="H18" s="109"/>
      <c r="I18" s="113"/>
      <c r="J18" s="114">
        <f>total_costos/rendimiento</f>
        <v>205.8303891891892</v>
      </c>
      <c r="K18" s="7"/>
    </row>
    <row r="19" spans="1:11" ht="18">
      <c r="A19" s="88"/>
      <c r="B19" s="92"/>
      <c r="C19" s="92"/>
      <c r="D19" s="92"/>
      <c r="E19" s="9"/>
      <c r="F19" s="9"/>
      <c r="G19" s="10"/>
      <c r="H19" s="11"/>
      <c r="I19" s="12"/>
      <c r="J19" s="12"/>
      <c r="K19" s="7"/>
    </row>
    <row r="20" spans="1:11" ht="20.25">
      <c r="A20" s="88"/>
      <c r="B20" s="115" t="s">
        <v>48</v>
      </c>
      <c r="C20" s="116"/>
      <c r="D20" s="116"/>
      <c r="E20" s="301" t="s">
        <v>15</v>
      </c>
      <c r="F20" s="301"/>
      <c r="G20" s="54" t="s">
        <v>16</v>
      </c>
      <c r="H20" s="55" t="s">
        <v>17</v>
      </c>
      <c r="I20" s="56" t="s">
        <v>55</v>
      </c>
      <c r="J20" s="57" t="s">
        <v>3</v>
      </c>
      <c r="K20" s="7"/>
    </row>
    <row r="21" spans="1:11" ht="18">
      <c r="A21" s="88"/>
      <c r="B21" s="286" t="s">
        <v>19</v>
      </c>
      <c r="C21" s="287"/>
      <c r="D21" s="287"/>
      <c r="E21" s="247"/>
      <c r="F21" s="247"/>
      <c r="G21" s="35"/>
      <c r="H21" s="36"/>
      <c r="I21" s="37"/>
      <c r="J21" s="38"/>
      <c r="K21" s="7"/>
    </row>
    <row r="22" spans="1:11" ht="18">
      <c r="A22" s="88"/>
      <c r="B22" s="195" t="s">
        <v>113</v>
      </c>
      <c r="C22" s="196"/>
      <c r="D22" s="197"/>
      <c r="E22" s="279" t="s">
        <v>98</v>
      </c>
      <c r="F22" s="280"/>
      <c r="G22" s="198">
        <v>15</v>
      </c>
      <c r="H22" s="143" t="s">
        <v>6</v>
      </c>
      <c r="I22" s="199">
        <f>$E$15</f>
        <v>15000</v>
      </c>
      <c r="J22" s="59">
        <f>G22*I22</f>
        <v>225000</v>
      </c>
      <c r="K22" s="7"/>
    </row>
    <row r="23" spans="1:11" ht="18">
      <c r="A23" s="88"/>
      <c r="B23" s="154" t="s">
        <v>83</v>
      </c>
      <c r="C23" s="155"/>
      <c r="D23" s="156"/>
      <c r="E23" s="281" t="s">
        <v>97</v>
      </c>
      <c r="F23" s="282"/>
      <c r="G23" s="198">
        <v>625</v>
      </c>
      <c r="H23" s="143" t="s">
        <v>61</v>
      </c>
      <c r="I23" s="199">
        <v>450</v>
      </c>
      <c r="J23" s="59">
        <f aca="true" t="shared" si="0" ref="J23:J29">G23*I23</f>
        <v>281250</v>
      </c>
      <c r="K23" s="7"/>
    </row>
    <row r="24" spans="1:11" ht="18">
      <c r="A24" s="88"/>
      <c r="B24" s="154" t="s">
        <v>60</v>
      </c>
      <c r="C24" s="155"/>
      <c r="D24" s="156"/>
      <c r="E24" s="281" t="s">
        <v>99</v>
      </c>
      <c r="F24" s="282"/>
      <c r="G24" s="198">
        <v>6</v>
      </c>
      <c r="H24" s="143" t="s">
        <v>6</v>
      </c>
      <c r="I24" s="199">
        <f>$E$15</f>
        <v>15000</v>
      </c>
      <c r="J24" s="59">
        <f t="shared" si="0"/>
        <v>90000</v>
      </c>
      <c r="K24" s="7"/>
    </row>
    <row r="25" spans="1:11" ht="18">
      <c r="A25" s="88"/>
      <c r="B25" s="154" t="s">
        <v>145</v>
      </c>
      <c r="C25" s="155"/>
      <c r="D25" s="156"/>
      <c r="E25" s="281" t="s">
        <v>100</v>
      </c>
      <c r="F25" s="282"/>
      <c r="G25" s="198">
        <v>8</v>
      </c>
      <c r="H25" s="143" t="s">
        <v>6</v>
      </c>
      <c r="I25" s="199">
        <f>$E$15</f>
        <v>15000</v>
      </c>
      <c r="J25" s="59">
        <f t="shared" si="0"/>
        <v>120000</v>
      </c>
      <c r="K25" s="7"/>
    </row>
    <row r="26" spans="1:11" ht="18">
      <c r="A26" s="88"/>
      <c r="B26" s="154" t="s">
        <v>114</v>
      </c>
      <c r="C26" s="155"/>
      <c r="D26" s="156"/>
      <c r="E26" s="281" t="s">
        <v>109</v>
      </c>
      <c r="F26" s="282"/>
      <c r="G26" s="198">
        <v>5</v>
      </c>
      <c r="H26" s="143" t="s">
        <v>6</v>
      </c>
      <c r="I26" s="199">
        <v>15000</v>
      </c>
      <c r="J26" s="59">
        <f t="shared" si="0"/>
        <v>75000</v>
      </c>
      <c r="K26" s="7"/>
    </row>
    <row r="27" spans="1:11" ht="18">
      <c r="A27" s="88"/>
      <c r="B27" s="154" t="s">
        <v>115</v>
      </c>
      <c r="C27" s="155"/>
      <c r="D27" s="156"/>
      <c r="E27" s="281" t="s">
        <v>116</v>
      </c>
      <c r="F27" s="282"/>
      <c r="G27" s="198">
        <v>625</v>
      </c>
      <c r="H27" s="143" t="s">
        <v>44</v>
      </c>
      <c r="I27" s="199">
        <v>240</v>
      </c>
      <c r="J27" s="59">
        <f t="shared" si="0"/>
        <v>150000</v>
      </c>
      <c r="K27" s="7"/>
    </row>
    <row r="28" spans="1:11" ht="18">
      <c r="A28" s="88"/>
      <c r="B28" s="154" t="s">
        <v>84</v>
      </c>
      <c r="C28" s="155"/>
      <c r="D28" s="156"/>
      <c r="E28" s="281" t="s">
        <v>117</v>
      </c>
      <c r="F28" s="282"/>
      <c r="G28" s="198">
        <f>rdto_variable!$C$2*rdto_variable!E5</f>
        <v>18500</v>
      </c>
      <c r="H28" s="143" t="s">
        <v>44</v>
      </c>
      <c r="I28" s="199">
        <v>18</v>
      </c>
      <c r="J28" s="59">
        <f t="shared" si="0"/>
        <v>333000</v>
      </c>
      <c r="K28" s="7"/>
    </row>
    <row r="29" spans="1:11" ht="18">
      <c r="A29" s="88"/>
      <c r="B29" s="154" t="s">
        <v>85</v>
      </c>
      <c r="C29" s="155"/>
      <c r="D29" s="156"/>
      <c r="E29" s="302" t="s">
        <v>117</v>
      </c>
      <c r="F29" s="303"/>
      <c r="G29" s="198">
        <f>rdto_variable!$C$2*rdto_variable!E6</f>
        <v>18500</v>
      </c>
      <c r="H29" s="143" t="s">
        <v>44</v>
      </c>
      <c r="I29" s="199">
        <v>2</v>
      </c>
      <c r="J29" s="59">
        <f t="shared" si="0"/>
        <v>37000</v>
      </c>
      <c r="K29" s="7"/>
    </row>
    <row r="30" spans="1:11" ht="18">
      <c r="A30" s="88"/>
      <c r="B30" s="288" t="s">
        <v>20</v>
      </c>
      <c r="C30" s="289"/>
      <c r="D30" s="289"/>
      <c r="E30" s="289"/>
      <c r="F30" s="289"/>
      <c r="G30" s="289"/>
      <c r="H30" s="289"/>
      <c r="I30" s="289"/>
      <c r="J30" s="32">
        <f>SUM(J22:J29)</f>
        <v>1311250</v>
      </c>
      <c r="K30" s="7"/>
    </row>
    <row r="31" spans="1:11" ht="18">
      <c r="A31" s="88"/>
      <c r="B31" s="9"/>
      <c r="C31" s="9"/>
      <c r="D31" s="9"/>
      <c r="E31" s="9"/>
      <c r="F31" s="9"/>
      <c r="G31" s="62"/>
      <c r="H31" s="9"/>
      <c r="I31" s="9"/>
      <c r="J31" s="63"/>
      <c r="K31" s="7"/>
    </row>
    <row r="32" spans="1:11" ht="18">
      <c r="A32" s="117"/>
      <c r="B32" s="286" t="s">
        <v>21</v>
      </c>
      <c r="C32" s="287"/>
      <c r="D32" s="287"/>
      <c r="E32" s="247"/>
      <c r="F32" s="247"/>
      <c r="G32" s="35"/>
      <c r="H32" s="36"/>
      <c r="I32" s="37"/>
      <c r="J32" s="70"/>
      <c r="K32" s="7"/>
    </row>
    <row r="33" spans="1:11" ht="18">
      <c r="A33" s="88"/>
      <c r="B33" s="195" t="s">
        <v>60</v>
      </c>
      <c r="C33" s="196"/>
      <c r="D33" s="197"/>
      <c r="E33" s="279" t="s">
        <v>127</v>
      </c>
      <c r="F33" s="280"/>
      <c r="G33" s="200">
        <v>10</v>
      </c>
      <c r="H33" s="201" t="s">
        <v>57</v>
      </c>
      <c r="I33" s="202">
        <v>20000</v>
      </c>
      <c r="J33" s="60">
        <f aca="true" t="shared" si="1" ref="J33:J38">G33*I33</f>
        <v>200000</v>
      </c>
      <c r="K33" s="7"/>
    </row>
    <row r="34" spans="1:11" ht="18">
      <c r="A34" s="88"/>
      <c r="B34" s="154" t="s">
        <v>118</v>
      </c>
      <c r="C34" s="155"/>
      <c r="D34" s="156"/>
      <c r="E34" s="281" t="s">
        <v>101</v>
      </c>
      <c r="F34" s="282"/>
      <c r="G34" s="203">
        <v>2</v>
      </c>
      <c r="H34" s="198" t="s">
        <v>57</v>
      </c>
      <c r="I34" s="204">
        <v>30000</v>
      </c>
      <c r="J34" s="58">
        <f t="shared" si="1"/>
        <v>60000</v>
      </c>
      <c r="K34" s="7"/>
    </row>
    <row r="35" spans="1:11" ht="18">
      <c r="A35" s="88"/>
      <c r="B35" s="154" t="s">
        <v>119</v>
      </c>
      <c r="C35" s="155"/>
      <c r="D35" s="156"/>
      <c r="E35" s="281" t="s">
        <v>101</v>
      </c>
      <c r="F35" s="282"/>
      <c r="G35" s="203">
        <v>2</v>
      </c>
      <c r="H35" s="198" t="s">
        <v>57</v>
      </c>
      <c r="I35" s="204">
        <v>25000</v>
      </c>
      <c r="J35" s="58">
        <f t="shared" si="1"/>
        <v>50000</v>
      </c>
      <c r="K35" s="7"/>
    </row>
    <row r="36" spans="1:11" ht="18">
      <c r="A36" s="88"/>
      <c r="B36" s="154" t="s">
        <v>146</v>
      </c>
      <c r="C36" s="155"/>
      <c r="D36" s="156"/>
      <c r="E36" s="281" t="s">
        <v>128</v>
      </c>
      <c r="F36" s="282"/>
      <c r="G36" s="203">
        <v>2</v>
      </c>
      <c r="H36" s="198" t="s">
        <v>57</v>
      </c>
      <c r="I36" s="204">
        <v>25000</v>
      </c>
      <c r="J36" s="58">
        <f t="shared" si="1"/>
        <v>50000</v>
      </c>
      <c r="K36" s="7"/>
    </row>
    <row r="37" spans="1:11" ht="18">
      <c r="A37" s="88"/>
      <c r="B37" s="154" t="s">
        <v>147</v>
      </c>
      <c r="C37" s="155"/>
      <c r="D37" s="156"/>
      <c r="E37" s="281" t="s">
        <v>117</v>
      </c>
      <c r="F37" s="282"/>
      <c r="G37" s="203">
        <f>rdto_variable!$C$2*rdto_variable!E8</f>
        <v>18500</v>
      </c>
      <c r="H37" s="198" t="s">
        <v>57</v>
      </c>
      <c r="I37" s="204">
        <v>5</v>
      </c>
      <c r="J37" s="58">
        <f t="shared" si="1"/>
        <v>92500</v>
      </c>
      <c r="K37" s="7"/>
    </row>
    <row r="38" spans="1:11" ht="18">
      <c r="A38" s="88"/>
      <c r="B38" s="154" t="s">
        <v>86</v>
      </c>
      <c r="C38" s="155"/>
      <c r="D38" s="156"/>
      <c r="E38" s="302" t="s">
        <v>117</v>
      </c>
      <c r="F38" s="303"/>
      <c r="G38" s="203">
        <f>rdto_variable!$C$2*rdto_variable!E9</f>
        <v>18500</v>
      </c>
      <c r="H38" s="198" t="s">
        <v>57</v>
      </c>
      <c r="I38" s="204">
        <v>7</v>
      </c>
      <c r="J38" s="61">
        <f t="shared" si="1"/>
        <v>129500</v>
      </c>
      <c r="K38" s="7"/>
    </row>
    <row r="39" spans="1:11" ht="18">
      <c r="A39" s="88"/>
      <c r="B39" s="288" t="s">
        <v>22</v>
      </c>
      <c r="C39" s="289"/>
      <c r="D39" s="289"/>
      <c r="E39" s="289"/>
      <c r="F39" s="289"/>
      <c r="G39" s="289"/>
      <c r="H39" s="289"/>
      <c r="I39" s="289"/>
      <c r="J39" s="41">
        <f>SUM(J33:J38)</f>
        <v>582000</v>
      </c>
      <c r="K39" s="7"/>
    </row>
    <row r="40" spans="1:11" ht="18">
      <c r="A40" s="88"/>
      <c r="B40" s="29"/>
      <c r="C40" s="29"/>
      <c r="D40" s="29"/>
      <c r="E40" s="29"/>
      <c r="F40" s="29"/>
      <c r="G40" s="14" t="s">
        <v>58</v>
      </c>
      <c r="H40" s="29"/>
      <c r="I40" s="29"/>
      <c r="J40" s="15"/>
      <c r="K40" s="7"/>
    </row>
    <row r="41" spans="1:11" ht="21">
      <c r="A41" s="88"/>
      <c r="B41" s="286" t="s">
        <v>64</v>
      </c>
      <c r="C41" s="287"/>
      <c r="D41" s="287"/>
      <c r="E41" s="247"/>
      <c r="F41" s="247"/>
      <c r="G41" s="35"/>
      <c r="H41" s="36"/>
      <c r="I41" s="37"/>
      <c r="J41" s="38"/>
      <c r="K41" s="7"/>
    </row>
    <row r="42" spans="1:11" ht="18">
      <c r="A42" s="88"/>
      <c r="B42" s="71" t="s">
        <v>41</v>
      </c>
      <c r="C42" s="72"/>
      <c r="D42" s="73"/>
      <c r="E42" s="48"/>
      <c r="F42" s="49"/>
      <c r="G42" s="45"/>
      <c r="H42" s="118"/>
      <c r="I42" s="46"/>
      <c r="J42" s="4"/>
      <c r="K42" s="7"/>
    </row>
    <row r="43" spans="1:11" ht="18">
      <c r="A43" s="88"/>
      <c r="B43" s="139" t="s">
        <v>120</v>
      </c>
      <c r="C43" s="140"/>
      <c r="D43" s="141"/>
      <c r="E43" s="210" t="s">
        <v>129</v>
      </c>
      <c r="F43" s="211"/>
      <c r="G43" s="142">
        <v>150</v>
      </c>
      <c r="H43" s="143" t="s">
        <v>44</v>
      </c>
      <c r="I43" s="144">
        <v>340</v>
      </c>
      <c r="J43" s="4">
        <f>G43*I43</f>
        <v>51000</v>
      </c>
      <c r="K43" s="7"/>
    </row>
    <row r="44" spans="1:11" ht="18">
      <c r="A44" s="88"/>
      <c r="B44" s="139" t="s">
        <v>69</v>
      </c>
      <c r="C44" s="140"/>
      <c r="D44" s="141"/>
      <c r="E44" s="210" t="s">
        <v>130</v>
      </c>
      <c r="F44" s="211"/>
      <c r="G44" s="142">
        <v>150</v>
      </c>
      <c r="H44" s="143" t="s">
        <v>44</v>
      </c>
      <c r="I44" s="144">
        <v>310</v>
      </c>
      <c r="J44" s="4">
        <f>G44*I44</f>
        <v>46500</v>
      </c>
      <c r="K44" s="7"/>
    </row>
    <row r="45" spans="1:11" ht="18">
      <c r="A45" s="88"/>
      <c r="B45" s="139" t="s">
        <v>87</v>
      </c>
      <c r="C45" s="140"/>
      <c r="D45" s="141"/>
      <c r="E45" s="210" t="s">
        <v>131</v>
      </c>
      <c r="F45" s="211"/>
      <c r="G45" s="142">
        <v>100</v>
      </c>
      <c r="H45" s="143" t="s">
        <v>44</v>
      </c>
      <c r="I45" s="144">
        <v>420</v>
      </c>
      <c r="J45" s="4">
        <f>G45*I45</f>
        <v>42000</v>
      </c>
      <c r="K45" s="7"/>
    </row>
    <row r="46" spans="1:11" ht="18">
      <c r="A46" s="88"/>
      <c r="B46" s="139" t="s">
        <v>102</v>
      </c>
      <c r="C46" s="140"/>
      <c r="D46" s="141"/>
      <c r="E46" s="210" t="s">
        <v>132</v>
      </c>
      <c r="F46" s="211"/>
      <c r="G46" s="142">
        <v>150</v>
      </c>
      <c r="H46" s="143" t="s">
        <v>44</v>
      </c>
      <c r="I46" s="144">
        <v>630</v>
      </c>
      <c r="J46" s="4">
        <f>G46*I46</f>
        <v>94500</v>
      </c>
      <c r="K46" s="7"/>
    </row>
    <row r="47" spans="1:11" ht="18">
      <c r="A47" s="88"/>
      <c r="B47" s="145" t="s">
        <v>139</v>
      </c>
      <c r="C47" s="146"/>
      <c r="D47" s="147"/>
      <c r="E47" s="146"/>
      <c r="F47" s="147"/>
      <c r="G47" s="148"/>
      <c r="H47" s="149"/>
      <c r="I47" s="150"/>
      <c r="J47" s="4"/>
      <c r="K47" s="7"/>
    </row>
    <row r="48" spans="1:11" ht="18">
      <c r="A48" s="88"/>
      <c r="B48" s="151" t="s">
        <v>42</v>
      </c>
      <c r="C48" s="152"/>
      <c r="D48" s="153"/>
      <c r="E48" s="145"/>
      <c r="F48" s="147"/>
      <c r="G48" s="148"/>
      <c r="H48" s="149"/>
      <c r="I48" s="150"/>
      <c r="J48" s="4"/>
      <c r="K48" s="7"/>
    </row>
    <row r="49" spans="1:11" ht="18">
      <c r="A49" s="88"/>
      <c r="B49" s="154" t="s">
        <v>140</v>
      </c>
      <c r="C49" s="155"/>
      <c r="D49" s="156"/>
      <c r="E49" s="210" t="s">
        <v>128</v>
      </c>
      <c r="F49" s="211"/>
      <c r="G49" s="142">
        <v>10</v>
      </c>
      <c r="H49" s="143" t="s">
        <v>44</v>
      </c>
      <c r="I49" s="144">
        <v>6500</v>
      </c>
      <c r="J49" s="4">
        <f aca="true" t="shared" si="2" ref="J49:J85">G49*I49</f>
        <v>65000</v>
      </c>
      <c r="K49" s="7"/>
    </row>
    <row r="50" spans="1:11" ht="18">
      <c r="A50" s="88"/>
      <c r="B50" s="154" t="s">
        <v>141</v>
      </c>
      <c r="C50" s="155"/>
      <c r="D50" s="156"/>
      <c r="E50" s="210" t="s">
        <v>133</v>
      </c>
      <c r="F50" s="211"/>
      <c r="G50" s="142">
        <v>3</v>
      </c>
      <c r="H50" s="143" t="s">
        <v>44</v>
      </c>
      <c r="I50" s="144">
        <v>20500</v>
      </c>
      <c r="J50" s="4">
        <f t="shared" si="2"/>
        <v>61500</v>
      </c>
      <c r="K50" s="7"/>
    </row>
    <row r="51" spans="1:11" ht="18">
      <c r="A51" s="88"/>
      <c r="B51" s="145" t="s">
        <v>139</v>
      </c>
      <c r="C51" s="146"/>
      <c r="D51" s="147"/>
      <c r="E51" s="145"/>
      <c r="F51" s="147"/>
      <c r="G51" s="148"/>
      <c r="H51" s="149"/>
      <c r="I51" s="150"/>
      <c r="J51" s="4"/>
      <c r="K51" s="7"/>
    </row>
    <row r="52" spans="1:11" ht="18">
      <c r="A52" s="88"/>
      <c r="B52" s="151" t="s">
        <v>43</v>
      </c>
      <c r="C52" s="152"/>
      <c r="D52" s="153"/>
      <c r="E52" s="145"/>
      <c r="F52" s="147"/>
      <c r="G52" s="148"/>
      <c r="H52" s="149"/>
      <c r="I52" s="150"/>
      <c r="J52" s="4"/>
      <c r="K52" s="7"/>
    </row>
    <row r="53" spans="1:11" ht="18">
      <c r="A53" s="88"/>
      <c r="B53" s="154" t="s">
        <v>142</v>
      </c>
      <c r="C53" s="155"/>
      <c r="D53" s="156"/>
      <c r="E53" s="210" t="s">
        <v>97</v>
      </c>
      <c r="F53" s="211"/>
      <c r="G53" s="157">
        <v>20</v>
      </c>
      <c r="H53" s="158" t="s">
        <v>40</v>
      </c>
      <c r="I53" s="144">
        <v>2910</v>
      </c>
      <c r="J53" s="4">
        <f t="shared" si="2"/>
        <v>58200</v>
      </c>
      <c r="K53" s="7"/>
    </row>
    <row r="54" spans="1:11" ht="18">
      <c r="A54" s="88"/>
      <c r="B54" s="154" t="s">
        <v>88</v>
      </c>
      <c r="C54" s="155"/>
      <c r="D54" s="156"/>
      <c r="E54" s="210" t="s">
        <v>97</v>
      </c>
      <c r="F54" s="211"/>
      <c r="G54" s="157">
        <v>2</v>
      </c>
      <c r="H54" s="158" t="s">
        <v>40</v>
      </c>
      <c r="I54" s="144">
        <v>7320</v>
      </c>
      <c r="J54" s="4">
        <f t="shared" si="2"/>
        <v>14640</v>
      </c>
      <c r="K54" s="7"/>
    </row>
    <row r="55" spans="1:11" ht="18">
      <c r="A55" s="88"/>
      <c r="B55" s="154" t="s">
        <v>70</v>
      </c>
      <c r="C55" s="155"/>
      <c r="D55" s="156"/>
      <c r="E55" s="210" t="s">
        <v>124</v>
      </c>
      <c r="F55" s="211"/>
      <c r="G55" s="157">
        <v>1</v>
      </c>
      <c r="H55" s="158" t="s">
        <v>40</v>
      </c>
      <c r="I55" s="144">
        <v>30300</v>
      </c>
      <c r="J55" s="4">
        <f t="shared" si="2"/>
        <v>30300</v>
      </c>
      <c r="K55" s="7"/>
    </row>
    <row r="56" spans="1:11" ht="18">
      <c r="A56" s="88"/>
      <c r="B56" s="154" t="s">
        <v>71</v>
      </c>
      <c r="C56" s="155"/>
      <c r="D56" s="156"/>
      <c r="E56" s="210" t="s">
        <v>125</v>
      </c>
      <c r="F56" s="211"/>
      <c r="G56" s="157">
        <v>2</v>
      </c>
      <c r="H56" s="158" t="s">
        <v>44</v>
      </c>
      <c r="I56" s="144">
        <v>45000</v>
      </c>
      <c r="J56" s="4">
        <f t="shared" si="2"/>
        <v>90000</v>
      </c>
      <c r="K56" s="7"/>
    </row>
    <row r="57" spans="1:11" ht="18">
      <c r="A57" s="88"/>
      <c r="B57" s="154" t="s">
        <v>89</v>
      </c>
      <c r="C57" s="155"/>
      <c r="D57" s="156"/>
      <c r="E57" s="210" t="s">
        <v>126</v>
      </c>
      <c r="F57" s="211"/>
      <c r="G57" s="157">
        <v>0.5</v>
      </c>
      <c r="H57" s="158" t="s">
        <v>40</v>
      </c>
      <c r="I57" s="144">
        <v>22500</v>
      </c>
      <c r="J57" s="4">
        <f t="shared" si="2"/>
        <v>11250</v>
      </c>
      <c r="K57" s="7"/>
    </row>
    <row r="58" spans="1:11" ht="18">
      <c r="A58" s="88"/>
      <c r="B58" s="154" t="s">
        <v>139</v>
      </c>
      <c r="C58" s="155"/>
      <c r="D58" s="156"/>
      <c r="E58" s="154"/>
      <c r="F58" s="156"/>
      <c r="G58" s="157"/>
      <c r="H58" s="158"/>
      <c r="I58" s="144"/>
      <c r="J58" s="4"/>
      <c r="K58" s="7"/>
    </row>
    <row r="59" spans="1:11" ht="18">
      <c r="A59" s="88"/>
      <c r="B59" s="159" t="s">
        <v>136</v>
      </c>
      <c r="C59" s="155"/>
      <c r="D59" s="156"/>
      <c r="E59" s="154"/>
      <c r="F59" s="156"/>
      <c r="G59" s="157"/>
      <c r="H59" s="158"/>
      <c r="I59" s="144"/>
      <c r="J59" s="4"/>
      <c r="K59" s="7"/>
    </row>
    <row r="60" spans="1:11" ht="18">
      <c r="A60" s="88"/>
      <c r="B60" s="154" t="s">
        <v>137</v>
      </c>
      <c r="C60" s="155"/>
      <c r="D60" s="156"/>
      <c r="E60" s="210" t="s">
        <v>111</v>
      </c>
      <c r="F60" s="211"/>
      <c r="G60" s="157">
        <v>20</v>
      </c>
      <c r="H60" s="158" t="s">
        <v>40</v>
      </c>
      <c r="I60" s="144">
        <v>6500</v>
      </c>
      <c r="J60" s="4">
        <f t="shared" si="2"/>
        <v>130000</v>
      </c>
      <c r="K60" s="7"/>
    </row>
    <row r="61" spans="1:11" ht="18">
      <c r="A61" s="88"/>
      <c r="B61" s="145" t="s">
        <v>139</v>
      </c>
      <c r="C61" s="146"/>
      <c r="D61" s="147"/>
      <c r="E61" s="160"/>
      <c r="F61" s="161"/>
      <c r="G61" s="162"/>
      <c r="H61" s="163"/>
      <c r="I61" s="150"/>
      <c r="J61" s="4"/>
      <c r="K61" s="7"/>
    </row>
    <row r="62" spans="1:11" ht="18">
      <c r="A62" s="88"/>
      <c r="B62" s="151" t="s">
        <v>81</v>
      </c>
      <c r="C62" s="146"/>
      <c r="D62" s="147"/>
      <c r="E62" s="160"/>
      <c r="F62" s="161"/>
      <c r="G62" s="162"/>
      <c r="H62" s="163"/>
      <c r="I62" s="150"/>
      <c r="J62" s="4"/>
      <c r="K62" s="7"/>
    </row>
    <row r="63" spans="1:11" ht="18">
      <c r="A63" s="88"/>
      <c r="B63" s="154" t="s">
        <v>122</v>
      </c>
      <c r="C63" s="155"/>
      <c r="D63" s="156"/>
      <c r="E63" s="210" t="s">
        <v>134</v>
      </c>
      <c r="F63" s="211"/>
      <c r="G63" s="157">
        <v>7</v>
      </c>
      <c r="H63" s="158" t="s">
        <v>40</v>
      </c>
      <c r="I63" s="144">
        <v>3850</v>
      </c>
      <c r="J63" s="4">
        <f t="shared" si="2"/>
        <v>26950</v>
      </c>
      <c r="K63" s="7"/>
    </row>
    <row r="64" spans="1:11" ht="18">
      <c r="A64" s="88"/>
      <c r="B64" s="154" t="s">
        <v>90</v>
      </c>
      <c r="C64" s="155"/>
      <c r="D64" s="156"/>
      <c r="E64" s="210" t="s">
        <v>135</v>
      </c>
      <c r="F64" s="211"/>
      <c r="G64" s="157">
        <v>3</v>
      </c>
      <c r="H64" s="158" t="s">
        <v>40</v>
      </c>
      <c r="I64" s="144">
        <v>15400</v>
      </c>
      <c r="J64" s="4">
        <f t="shared" si="2"/>
        <v>46200</v>
      </c>
      <c r="K64" s="7"/>
    </row>
    <row r="65" spans="1:11" ht="18">
      <c r="A65" s="88"/>
      <c r="B65" s="145" t="s">
        <v>139</v>
      </c>
      <c r="C65" s="146"/>
      <c r="D65" s="147"/>
      <c r="E65" s="146"/>
      <c r="F65" s="147"/>
      <c r="G65" s="162"/>
      <c r="H65" s="163"/>
      <c r="I65" s="150"/>
      <c r="J65" s="4"/>
      <c r="K65" s="7"/>
    </row>
    <row r="66" spans="1:11" ht="18">
      <c r="A66" s="88"/>
      <c r="B66" s="151" t="s">
        <v>82</v>
      </c>
      <c r="C66" s="146"/>
      <c r="D66" s="147"/>
      <c r="E66" s="146"/>
      <c r="F66" s="147"/>
      <c r="G66" s="162"/>
      <c r="H66" s="163"/>
      <c r="I66" s="150"/>
      <c r="J66" s="4"/>
      <c r="K66" s="7"/>
    </row>
    <row r="67" spans="1:11" ht="18">
      <c r="A67" s="88"/>
      <c r="B67" s="154" t="s">
        <v>121</v>
      </c>
      <c r="C67" s="155"/>
      <c r="D67" s="156"/>
      <c r="E67" s="210" t="s">
        <v>109</v>
      </c>
      <c r="F67" s="211"/>
      <c r="G67" s="157">
        <v>1</v>
      </c>
      <c r="H67" s="158" t="s">
        <v>40</v>
      </c>
      <c r="I67" s="144">
        <v>9500</v>
      </c>
      <c r="J67" s="4">
        <f t="shared" si="2"/>
        <v>9500</v>
      </c>
      <c r="K67" s="7"/>
    </row>
    <row r="68" spans="1:11" ht="18">
      <c r="A68" s="88"/>
      <c r="B68" s="154" t="s">
        <v>139</v>
      </c>
      <c r="C68" s="155"/>
      <c r="D68" s="156"/>
      <c r="E68" s="154"/>
      <c r="F68" s="156"/>
      <c r="G68" s="157"/>
      <c r="H68" s="158"/>
      <c r="I68" s="144"/>
      <c r="J68" s="4"/>
      <c r="K68" s="7"/>
    </row>
    <row r="69" spans="1:11" ht="18">
      <c r="A69" s="88"/>
      <c r="B69" s="151" t="s">
        <v>138</v>
      </c>
      <c r="C69" s="155"/>
      <c r="D69" s="156"/>
      <c r="E69" s="154"/>
      <c r="F69" s="156"/>
      <c r="G69" s="157"/>
      <c r="H69" s="158"/>
      <c r="I69" s="144"/>
      <c r="J69" s="4"/>
      <c r="K69" s="7"/>
    </row>
    <row r="70" spans="1:11" ht="18">
      <c r="A70" s="88"/>
      <c r="B70" s="154" t="s">
        <v>91</v>
      </c>
      <c r="C70" s="155"/>
      <c r="D70" s="156"/>
      <c r="E70" s="210" t="s">
        <v>123</v>
      </c>
      <c r="F70" s="211"/>
      <c r="G70" s="157">
        <v>2</v>
      </c>
      <c r="H70" s="158" t="s">
        <v>44</v>
      </c>
      <c r="I70" s="144">
        <v>55520</v>
      </c>
      <c r="J70" s="4">
        <f t="shared" si="2"/>
        <v>111040</v>
      </c>
      <c r="K70" s="7"/>
    </row>
    <row r="71" spans="1:11" ht="18">
      <c r="A71" s="88"/>
      <c r="B71" s="145" t="s">
        <v>139</v>
      </c>
      <c r="C71" s="146"/>
      <c r="D71" s="147"/>
      <c r="E71" s="146"/>
      <c r="F71" s="147"/>
      <c r="G71" s="162"/>
      <c r="H71" s="163"/>
      <c r="I71" s="150"/>
      <c r="J71" s="4"/>
      <c r="K71" s="7"/>
    </row>
    <row r="72" spans="1:11" ht="18">
      <c r="A72" s="88"/>
      <c r="B72" s="151" t="s">
        <v>67</v>
      </c>
      <c r="C72" s="146"/>
      <c r="D72" s="147"/>
      <c r="E72" s="146"/>
      <c r="F72" s="147"/>
      <c r="G72" s="162"/>
      <c r="H72" s="163"/>
      <c r="I72" s="150"/>
      <c r="J72" s="4"/>
      <c r="K72" s="7"/>
    </row>
    <row r="73" spans="1:11" ht="18">
      <c r="A73" s="88"/>
      <c r="B73" s="154" t="s">
        <v>92</v>
      </c>
      <c r="C73" s="155"/>
      <c r="D73" s="156"/>
      <c r="E73" s="210" t="s">
        <v>101</v>
      </c>
      <c r="F73" s="211"/>
      <c r="G73" s="157">
        <v>4</v>
      </c>
      <c r="H73" s="158" t="s">
        <v>44</v>
      </c>
      <c r="I73" s="144">
        <v>4300</v>
      </c>
      <c r="J73" s="4">
        <f t="shared" si="2"/>
        <v>17200</v>
      </c>
      <c r="K73" s="7"/>
    </row>
    <row r="74" spans="1:11" ht="18">
      <c r="A74" s="88"/>
      <c r="B74" s="154" t="s">
        <v>93</v>
      </c>
      <c r="C74" s="155"/>
      <c r="D74" s="156"/>
      <c r="E74" s="210" t="s">
        <v>104</v>
      </c>
      <c r="F74" s="211"/>
      <c r="G74" s="157">
        <v>4</v>
      </c>
      <c r="H74" s="158" t="s">
        <v>40</v>
      </c>
      <c r="I74" s="144">
        <v>9850</v>
      </c>
      <c r="J74" s="4">
        <f t="shared" si="2"/>
        <v>39400</v>
      </c>
      <c r="K74" s="7"/>
    </row>
    <row r="75" spans="1:11" ht="18">
      <c r="A75" s="88"/>
      <c r="B75" s="154" t="s">
        <v>143</v>
      </c>
      <c r="C75" s="155"/>
      <c r="D75" s="156"/>
      <c r="E75" s="210" t="s">
        <v>104</v>
      </c>
      <c r="F75" s="211"/>
      <c r="G75" s="157">
        <v>3</v>
      </c>
      <c r="H75" s="158" t="s">
        <v>40</v>
      </c>
      <c r="I75" s="144">
        <v>8500</v>
      </c>
      <c r="J75" s="4">
        <f t="shared" si="2"/>
        <v>25500</v>
      </c>
      <c r="K75" s="7"/>
    </row>
    <row r="76" spans="1:11" ht="18">
      <c r="A76" s="88"/>
      <c r="B76" s="154" t="s">
        <v>94</v>
      </c>
      <c r="C76" s="155"/>
      <c r="D76" s="156"/>
      <c r="E76" s="210" t="s">
        <v>105</v>
      </c>
      <c r="F76" s="211"/>
      <c r="G76" s="157">
        <v>3</v>
      </c>
      <c r="H76" s="158" t="s">
        <v>44</v>
      </c>
      <c r="I76" s="144">
        <v>4500</v>
      </c>
      <c r="J76" s="4">
        <f t="shared" si="2"/>
        <v>13500</v>
      </c>
      <c r="K76" s="7"/>
    </row>
    <row r="77" spans="1:11" ht="18">
      <c r="A77" s="88"/>
      <c r="B77" s="154" t="s">
        <v>72</v>
      </c>
      <c r="C77" s="155"/>
      <c r="D77" s="156"/>
      <c r="E77" s="210" t="s">
        <v>106</v>
      </c>
      <c r="F77" s="211"/>
      <c r="G77" s="157">
        <v>4</v>
      </c>
      <c r="H77" s="158" t="s">
        <v>40</v>
      </c>
      <c r="I77" s="144">
        <v>1950</v>
      </c>
      <c r="J77" s="4">
        <f t="shared" si="2"/>
        <v>7800</v>
      </c>
      <c r="K77" s="7"/>
    </row>
    <row r="78" spans="1:11" ht="18">
      <c r="A78" s="88"/>
      <c r="B78" s="164" t="s">
        <v>139</v>
      </c>
      <c r="C78" s="165"/>
      <c r="D78" s="166"/>
      <c r="E78" s="146"/>
      <c r="F78" s="147"/>
      <c r="G78" s="162"/>
      <c r="H78" s="163"/>
      <c r="I78" s="150"/>
      <c r="J78" s="4"/>
      <c r="K78" s="7"/>
    </row>
    <row r="79" spans="1:11" ht="18">
      <c r="A79" s="88"/>
      <c r="B79" s="167" t="s">
        <v>68</v>
      </c>
      <c r="C79" s="165"/>
      <c r="D79" s="166"/>
      <c r="E79" s="146"/>
      <c r="F79" s="147"/>
      <c r="G79" s="162"/>
      <c r="H79" s="163"/>
      <c r="I79" s="150"/>
      <c r="J79" s="4"/>
      <c r="K79" s="7"/>
    </row>
    <row r="80" spans="1:11" ht="18">
      <c r="A80" s="88"/>
      <c r="B80" s="139" t="s">
        <v>95</v>
      </c>
      <c r="C80" s="140"/>
      <c r="D80" s="141"/>
      <c r="E80" s="210" t="s">
        <v>108</v>
      </c>
      <c r="F80" s="211"/>
      <c r="G80" s="157">
        <v>4</v>
      </c>
      <c r="H80" s="158" t="s">
        <v>57</v>
      </c>
      <c r="I80" s="144">
        <v>21000</v>
      </c>
      <c r="J80" s="4">
        <f t="shared" si="2"/>
        <v>84000</v>
      </c>
      <c r="K80" s="7"/>
    </row>
    <row r="81" spans="1:11" ht="18">
      <c r="A81" s="88"/>
      <c r="B81" s="139" t="s">
        <v>144</v>
      </c>
      <c r="C81" s="140"/>
      <c r="D81" s="141"/>
      <c r="E81" s="210" t="s">
        <v>117</v>
      </c>
      <c r="F81" s="211"/>
      <c r="G81" s="157">
        <v>2</v>
      </c>
      <c r="H81" s="158" t="s">
        <v>17</v>
      </c>
      <c r="I81" s="144">
        <v>80000</v>
      </c>
      <c r="J81" s="4">
        <f t="shared" si="2"/>
        <v>160000</v>
      </c>
      <c r="K81" s="7"/>
    </row>
    <row r="82" spans="1:11" ht="18">
      <c r="A82" s="88"/>
      <c r="B82" s="139" t="s">
        <v>96</v>
      </c>
      <c r="C82" s="140"/>
      <c r="D82" s="141"/>
      <c r="E82" s="210" t="s">
        <v>105</v>
      </c>
      <c r="F82" s="211"/>
      <c r="G82" s="157">
        <v>8</v>
      </c>
      <c r="H82" s="158" t="s">
        <v>57</v>
      </c>
      <c r="I82" s="144">
        <v>8000</v>
      </c>
      <c r="J82" s="4">
        <f t="shared" si="2"/>
        <v>64000</v>
      </c>
      <c r="K82" s="7"/>
    </row>
    <row r="83" spans="1:11" ht="18">
      <c r="A83" s="88"/>
      <c r="B83" s="139" t="s">
        <v>107</v>
      </c>
      <c r="C83" s="140"/>
      <c r="D83" s="141"/>
      <c r="E83" s="210" t="s">
        <v>110</v>
      </c>
      <c r="F83" s="211"/>
      <c r="G83" s="157">
        <v>5</v>
      </c>
      <c r="H83" s="158" t="s">
        <v>40</v>
      </c>
      <c r="I83" s="144">
        <v>17000</v>
      </c>
      <c r="J83" s="4">
        <f t="shared" si="2"/>
        <v>85000</v>
      </c>
      <c r="K83" s="7"/>
    </row>
    <row r="84" spans="1:11" ht="21">
      <c r="A84" s="88"/>
      <c r="B84" s="139" t="s">
        <v>164</v>
      </c>
      <c r="C84" s="140"/>
      <c r="D84" s="141"/>
      <c r="E84" s="210" t="s">
        <v>111</v>
      </c>
      <c r="F84" s="211"/>
      <c r="G84" s="157">
        <v>1</v>
      </c>
      <c r="H84" s="158" t="s">
        <v>63</v>
      </c>
      <c r="I84" s="144">
        <v>31000</v>
      </c>
      <c r="J84" s="4">
        <f t="shared" si="2"/>
        <v>31000</v>
      </c>
      <c r="K84" s="7"/>
    </row>
    <row r="85" spans="1:11" ht="18">
      <c r="A85" s="88"/>
      <c r="B85" s="168" t="s">
        <v>163</v>
      </c>
      <c r="C85" s="169"/>
      <c r="D85" s="170"/>
      <c r="E85" s="206" t="s">
        <v>103</v>
      </c>
      <c r="F85" s="207"/>
      <c r="G85" s="157">
        <v>1</v>
      </c>
      <c r="H85" s="158" t="s">
        <v>63</v>
      </c>
      <c r="I85" s="144">
        <v>31000</v>
      </c>
      <c r="J85" s="4">
        <f t="shared" si="2"/>
        <v>31000</v>
      </c>
      <c r="K85" s="7"/>
    </row>
    <row r="86" spans="1:11" ht="18">
      <c r="A86" s="88"/>
      <c r="B86" s="241" t="s">
        <v>23</v>
      </c>
      <c r="C86" s="242"/>
      <c r="D86" s="242"/>
      <c r="E86" s="242"/>
      <c r="F86" s="242"/>
      <c r="G86" s="242"/>
      <c r="H86" s="242"/>
      <c r="I86" s="242"/>
      <c r="J86" s="43">
        <f>SUM(J42:J85)</f>
        <v>1446980</v>
      </c>
      <c r="K86" s="7"/>
    </row>
    <row r="87" spans="1:11" ht="18">
      <c r="A87" s="88"/>
      <c r="B87" s="17"/>
      <c r="C87" s="17"/>
      <c r="D87" s="17"/>
      <c r="E87" s="17"/>
      <c r="F87" s="17"/>
      <c r="G87" s="18"/>
      <c r="H87" s="17"/>
      <c r="I87" s="17"/>
      <c r="J87" s="19"/>
      <c r="K87" s="7"/>
    </row>
    <row r="88" spans="1:11" ht="18">
      <c r="A88" s="88"/>
      <c r="B88" s="208" t="s">
        <v>24</v>
      </c>
      <c r="C88" s="209"/>
      <c r="D88" s="209"/>
      <c r="E88" s="209"/>
      <c r="F88" s="209"/>
      <c r="G88" s="209"/>
      <c r="H88" s="209"/>
      <c r="I88" s="209"/>
      <c r="J88" s="32">
        <f>total_mano_obra+total_maquinaria+total_insumos</f>
        <v>3340230</v>
      </c>
      <c r="K88" s="7"/>
    </row>
    <row r="89" spans="1:11" ht="18">
      <c r="A89" s="88"/>
      <c r="B89" s="47"/>
      <c r="C89" s="47"/>
      <c r="D89" s="47"/>
      <c r="E89" s="47"/>
      <c r="F89" s="47"/>
      <c r="G89" s="20"/>
      <c r="H89" s="47"/>
      <c r="I89" s="47"/>
      <c r="J89" s="15"/>
      <c r="K89" s="7"/>
    </row>
    <row r="90" spans="1:11" ht="18">
      <c r="A90" s="88"/>
      <c r="B90" s="64" t="s">
        <v>54</v>
      </c>
      <c r="C90" s="65"/>
      <c r="D90" s="66"/>
      <c r="E90" s="236" t="s">
        <v>62</v>
      </c>
      <c r="F90" s="236"/>
      <c r="G90" s="67">
        <v>0.05</v>
      </c>
      <c r="H90" s="68" t="s">
        <v>1</v>
      </c>
      <c r="I90" s="69"/>
      <c r="J90" s="69">
        <f>total_costos_directos*G90</f>
        <v>167011.5</v>
      </c>
      <c r="K90" s="7"/>
    </row>
    <row r="91" spans="1:11" ht="18">
      <c r="A91" s="88"/>
      <c r="B91" s="47"/>
      <c r="C91" s="47"/>
      <c r="D91" s="47"/>
      <c r="E91" s="47"/>
      <c r="F91" s="47"/>
      <c r="G91" s="20"/>
      <c r="H91" s="47"/>
      <c r="I91" s="47"/>
      <c r="J91" s="15"/>
      <c r="K91" s="7"/>
    </row>
    <row r="92" spans="1:11" ht="20.25">
      <c r="A92" s="88"/>
      <c r="B92" s="115" t="s">
        <v>53</v>
      </c>
      <c r="C92" s="116"/>
      <c r="D92" s="116"/>
      <c r="E92" s="9"/>
      <c r="F92" s="9"/>
      <c r="G92" s="10"/>
      <c r="H92" s="11"/>
      <c r="I92" s="12"/>
      <c r="J92" s="12"/>
      <c r="K92" s="7"/>
    </row>
    <row r="93" spans="1:11" ht="18">
      <c r="A93" s="88"/>
      <c r="B93" s="262" t="s">
        <v>52</v>
      </c>
      <c r="C93" s="247"/>
      <c r="D93" s="247"/>
      <c r="E93" s="247" t="s">
        <v>15</v>
      </c>
      <c r="F93" s="247"/>
      <c r="G93" s="35" t="s">
        <v>16</v>
      </c>
      <c r="H93" s="36" t="s">
        <v>17</v>
      </c>
      <c r="I93" s="37" t="s">
        <v>18</v>
      </c>
      <c r="J93" s="38" t="s">
        <v>3</v>
      </c>
      <c r="K93" s="7"/>
    </row>
    <row r="94" spans="1:11" ht="21">
      <c r="A94" s="88"/>
      <c r="B94" s="263" t="s">
        <v>65</v>
      </c>
      <c r="C94" s="264"/>
      <c r="D94" s="265"/>
      <c r="E94" s="231" t="s">
        <v>62</v>
      </c>
      <c r="F94" s="232"/>
      <c r="G94" s="42">
        <f>E16</f>
        <v>0.015</v>
      </c>
      <c r="H94" s="2" t="s">
        <v>1</v>
      </c>
      <c r="I94" s="119"/>
      <c r="J94" s="4">
        <f>total_costos_directos*tasa_interes_mensual*meses_financiamiento*0.5</f>
        <v>300620.69999999995</v>
      </c>
      <c r="K94" s="7"/>
    </row>
    <row r="95" spans="1:11" ht="18">
      <c r="A95" s="88"/>
      <c r="B95" s="263" t="s">
        <v>26</v>
      </c>
      <c r="C95" s="264"/>
      <c r="D95" s="265"/>
      <c r="E95" s="219"/>
      <c r="F95" s="220"/>
      <c r="G95" s="33"/>
      <c r="H95" s="33"/>
      <c r="I95" s="33"/>
      <c r="J95" s="120"/>
      <c r="K95" s="7"/>
    </row>
    <row r="96" spans="1:11" ht="18">
      <c r="A96" s="88"/>
      <c r="B96" s="263" t="s">
        <v>2</v>
      </c>
      <c r="C96" s="264"/>
      <c r="D96" s="265"/>
      <c r="E96" s="219"/>
      <c r="F96" s="220"/>
      <c r="G96" s="33"/>
      <c r="H96" s="33"/>
      <c r="I96" s="33"/>
      <c r="J96" s="120"/>
      <c r="K96" s="7"/>
    </row>
    <row r="97" spans="1:11" ht="18">
      <c r="A97" s="88"/>
      <c r="B97" s="283" t="s">
        <v>27</v>
      </c>
      <c r="C97" s="284"/>
      <c r="D97" s="285"/>
      <c r="E97" s="274"/>
      <c r="F97" s="275"/>
      <c r="G97" s="34"/>
      <c r="H97" s="34"/>
      <c r="I97" s="34"/>
      <c r="J97" s="121"/>
      <c r="K97" s="7"/>
    </row>
    <row r="98" spans="1:11" ht="18">
      <c r="A98" s="88"/>
      <c r="B98" s="245" t="s">
        <v>49</v>
      </c>
      <c r="C98" s="246"/>
      <c r="D98" s="246"/>
      <c r="E98" s="246"/>
      <c r="F98" s="246"/>
      <c r="G98" s="246"/>
      <c r="H98" s="246"/>
      <c r="I98" s="246"/>
      <c r="J98" s="41">
        <f>SUM(J94:J97)</f>
        <v>300620.69999999995</v>
      </c>
      <c r="K98" s="7"/>
    </row>
    <row r="99" spans="1:11" ht="18" customHeight="1">
      <c r="A99" s="88"/>
      <c r="B99" s="29"/>
      <c r="C99" s="29"/>
      <c r="D99" s="29"/>
      <c r="E99" s="29"/>
      <c r="F99" s="29"/>
      <c r="G99" s="14"/>
      <c r="H99" s="29"/>
      <c r="I99" s="29"/>
      <c r="J99" s="15"/>
      <c r="K99" s="7"/>
    </row>
    <row r="100" spans="1:11" ht="18" customHeight="1">
      <c r="A100" s="88"/>
      <c r="B100" s="243" t="s">
        <v>28</v>
      </c>
      <c r="C100" s="244"/>
      <c r="D100" s="244"/>
      <c r="E100" s="244"/>
      <c r="F100" s="244"/>
      <c r="G100" s="244"/>
      <c r="H100" s="244"/>
      <c r="I100" s="244"/>
      <c r="J100" s="254">
        <f>total_costos_directos+imprevistos+total_costos_indirectos</f>
        <v>3807862.2</v>
      </c>
      <c r="K100" s="7"/>
    </row>
    <row r="101" spans="1:11" ht="18" customHeight="1">
      <c r="A101" s="88"/>
      <c r="B101" s="245"/>
      <c r="C101" s="246"/>
      <c r="D101" s="246"/>
      <c r="E101" s="246"/>
      <c r="F101" s="246"/>
      <c r="G101" s="246"/>
      <c r="H101" s="246"/>
      <c r="I101" s="246"/>
      <c r="J101" s="255"/>
      <c r="K101" s="7"/>
    </row>
    <row r="102" spans="1:11" ht="18" customHeight="1">
      <c r="A102" s="88"/>
      <c r="B102" s="17"/>
      <c r="C102" s="17"/>
      <c r="D102" s="17"/>
      <c r="E102" s="17"/>
      <c r="F102" s="17"/>
      <c r="G102" s="18"/>
      <c r="H102" s="17"/>
      <c r="I102" s="17"/>
      <c r="J102" s="19"/>
      <c r="K102" s="7"/>
    </row>
    <row r="103" spans="1:11" ht="18" customHeight="1">
      <c r="A103" s="88"/>
      <c r="B103" s="29"/>
      <c r="C103" s="29"/>
      <c r="D103" s="29"/>
      <c r="E103" s="29"/>
      <c r="F103" s="29"/>
      <c r="G103" s="14"/>
      <c r="H103" s="29"/>
      <c r="I103" s="29"/>
      <c r="J103" s="15"/>
      <c r="K103" s="7"/>
    </row>
    <row r="104" spans="1:11" ht="18" customHeight="1">
      <c r="A104" s="88"/>
      <c r="B104" s="29"/>
      <c r="C104" s="29"/>
      <c r="D104" s="29"/>
      <c r="E104" s="29"/>
      <c r="F104" s="29"/>
      <c r="G104" s="14"/>
      <c r="H104" s="29"/>
      <c r="I104" s="29"/>
      <c r="J104" s="15"/>
      <c r="K104" s="7"/>
    </row>
    <row r="105" spans="1:11" ht="18" customHeight="1">
      <c r="A105" s="88"/>
      <c r="B105" s="256" t="s">
        <v>66</v>
      </c>
      <c r="C105" s="257"/>
      <c r="D105" s="257"/>
      <c r="E105" s="257"/>
      <c r="F105" s="257"/>
      <c r="G105" s="257"/>
      <c r="H105" s="257"/>
      <c r="I105" s="257"/>
      <c r="J105" s="258"/>
      <c r="K105" s="7"/>
    </row>
    <row r="106" spans="1:11" ht="18">
      <c r="A106" s="88"/>
      <c r="B106" s="213" t="s">
        <v>34</v>
      </c>
      <c r="C106" s="214"/>
      <c r="D106" s="214"/>
      <c r="E106" s="214"/>
      <c r="F106" s="214"/>
      <c r="G106" s="214"/>
      <c r="H106" s="214"/>
      <c r="I106" s="214"/>
      <c r="J106" s="215"/>
      <c r="K106" s="7"/>
    </row>
    <row r="107" spans="1:11" ht="18" customHeight="1">
      <c r="A107" s="88"/>
      <c r="B107" s="221" t="s">
        <v>161</v>
      </c>
      <c r="C107" s="221"/>
      <c r="D107" s="221"/>
      <c r="E107" s="276" t="s">
        <v>59</v>
      </c>
      <c r="F107" s="277"/>
      <c r="G107" s="277"/>
      <c r="H107" s="277"/>
      <c r="I107" s="277"/>
      <c r="J107" s="278"/>
      <c r="K107" s="7"/>
    </row>
    <row r="108" spans="1:11" ht="18" customHeight="1">
      <c r="A108" s="88"/>
      <c r="B108" s="221"/>
      <c r="C108" s="221"/>
      <c r="D108" s="221"/>
      <c r="E108" s="216">
        <f>G108*0.9</f>
        <v>229.5</v>
      </c>
      <c r="F108" s="216"/>
      <c r="G108" s="261">
        <f>precio_de_venta</f>
        <v>255</v>
      </c>
      <c r="H108" s="261"/>
      <c r="I108" s="216">
        <f>G108*1.1</f>
        <v>280.5</v>
      </c>
      <c r="J108" s="216"/>
      <c r="K108" s="7"/>
    </row>
    <row r="109" spans="1:11" ht="18" customHeight="1">
      <c r="A109" s="88"/>
      <c r="B109" s="216">
        <f>rendimiento*0.9</f>
        <v>16650</v>
      </c>
      <c r="C109" s="216"/>
      <c r="D109" s="216"/>
      <c r="E109" s="212">
        <f>E$108*$B$109-rdto_variable!$C$44</f>
        <v>80800.79999999981</v>
      </c>
      <c r="F109" s="212"/>
      <c r="G109" s="212">
        <f>G$108*$B$109-rdto_variable!$C$44</f>
        <v>505375.7999999998</v>
      </c>
      <c r="H109" s="212"/>
      <c r="I109" s="212">
        <f>I$108*$B$109-rdto_variable!$C$44</f>
        <v>929950.7999999998</v>
      </c>
      <c r="J109" s="212"/>
      <c r="K109" s="7"/>
    </row>
    <row r="110" spans="1:11" ht="18" customHeight="1">
      <c r="A110" s="88"/>
      <c r="B110" s="216">
        <f>rendimiento</f>
        <v>18500</v>
      </c>
      <c r="C110" s="216"/>
      <c r="D110" s="216"/>
      <c r="E110" s="212">
        <f>E$108*$B$110-total_costos</f>
        <v>437887.7999999998</v>
      </c>
      <c r="F110" s="212"/>
      <c r="G110" s="212">
        <f>G$108*$B$110-total_costos</f>
        <v>909637.7999999998</v>
      </c>
      <c r="H110" s="212"/>
      <c r="I110" s="212">
        <f>I$108*$B$110-total_costos</f>
        <v>1381387.7999999998</v>
      </c>
      <c r="J110" s="212"/>
      <c r="K110" s="7"/>
    </row>
    <row r="111" spans="1:11" ht="18" customHeight="1">
      <c r="A111" s="88"/>
      <c r="B111" s="216">
        <f>rendimiento*1.1</f>
        <v>20350</v>
      </c>
      <c r="C111" s="216"/>
      <c r="D111" s="216"/>
      <c r="E111" s="212">
        <f>E$108*$B$111-rdto_variable!$D$44</f>
        <v>794974.7999999998</v>
      </c>
      <c r="F111" s="212"/>
      <c r="G111" s="212">
        <f>G$108*$B$111-rdto_variable!$D$44</f>
        <v>1313899.7999999998</v>
      </c>
      <c r="H111" s="212"/>
      <c r="I111" s="212">
        <f>I$108*$B$111-rdto_variable!$D$44</f>
        <v>1832824.7999999998</v>
      </c>
      <c r="J111" s="212"/>
      <c r="K111" s="7"/>
    </row>
    <row r="112" spans="1:11" ht="18" customHeight="1">
      <c r="A112" s="88"/>
      <c r="B112" s="122"/>
      <c r="C112" s="122"/>
      <c r="D112" s="123"/>
      <c r="E112" s="123"/>
      <c r="F112" s="123"/>
      <c r="G112" s="124"/>
      <c r="H112" s="125"/>
      <c r="I112" s="126"/>
      <c r="J112" s="126"/>
      <c r="K112" s="7"/>
    </row>
    <row r="113" spans="1:11" ht="18" customHeight="1">
      <c r="A113" s="88"/>
      <c r="B113" s="248" t="s">
        <v>159</v>
      </c>
      <c r="C113" s="249"/>
      <c r="D113" s="249"/>
      <c r="E113" s="249"/>
      <c r="F113" s="249"/>
      <c r="G113" s="249"/>
      <c r="H113" s="249"/>
      <c r="I113" s="249"/>
      <c r="J113" s="250"/>
      <c r="K113" s="7"/>
    </row>
    <row r="114" spans="1:11" ht="18" customHeight="1">
      <c r="A114" s="88"/>
      <c r="B114" s="251"/>
      <c r="C114" s="252"/>
      <c r="D114" s="252"/>
      <c r="E114" s="252"/>
      <c r="F114" s="252"/>
      <c r="G114" s="252"/>
      <c r="H114" s="252"/>
      <c r="I114" s="252"/>
      <c r="J114" s="253"/>
      <c r="K114" s="7"/>
    </row>
    <row r="115" spans="1:11" ht="18" customHeight="1">
      <c r="A115" s="88"/>
      <c r="B115" s="237" t="s">
        <v>161</v>
      </c>
      <c r="C115" s="238"/>
      <c r="D115" s="238"/>
      <c r="E115" s="217">
        <f>B109</f>
        <v>16650</v>
      </c>
      <c r="F115" s="217"/>
      <c r="G115" s="217">
        <f>B110</f>
        <v>18500</v>
      </c>
      <c r="H115" s="217"/>
      <c r="I115" s="217">
        <f>B111</f>
        <v>20350</v>
      </c>
      <c r="J115" s="259"/>
      <c r="K115" s="7"/>
    </row>
    <row r="116" spans="1:11" ht="18" customHeight="1">
      <c r="A116" s="88"/>
      <c r="B116" s="239"/>
      <c r="C116" s="240"/>
      <c r="D116" s="240"/>
      <c r="E116" s="218"/>
      <c r="F116" s="218"/>
      <c r="G116" s="218"/>
      <c r="H116" s="218"/>
      <c r="I116" s="218"/>
      <c r="J116" s="260"/>
      <c r="K116" s="7"/>
    </row>
    <row r="117" spans="1:11" ht="18" customHeight="1">
      <c r="A117" s="88"/>
      <c r="B117" s="268" t="s">
        <v>162</v>
      </c>
      <c r="C117" s="269"/>
      <c r="D117" s="269"/>
      <c r="E117" s="266">
        <f>rdto_variable!C44/kiwi!E115</f>
        <v>224.6470990990991</v>
      </c>
      <c r="F117" s="266"/>
      <c r="G117" s="267">
        <f>total_costos/$G$115</f>
        <v>205.8303891891892</v>
      </c>
      <c r="H117" s="267"/>
      <c r="I117" s="266">
        <f>rdto_variable!D44/kiwi!I115</f>
        <v>190.43489926289928</v>
      </c>
      <c r="J117" s="272"/>
      <c r="K117" s="7"/>
    </row>
    <row r="118" spans="1:11" ht="18" customHeight="1">
      <c r="A118" s="88"/>
      <c r="B118" s="270"/>
      <c r="C118" s="271"/>
      <c r="D118" s="271"/>
      <c r="E118" s="267"/>
      <c r="F118" s="267"/>
      <c r="G118" s="267"/>
      <c r="H118" s="267"/>
      <c r="I118" s="267"/>
      <c r="J118" s="273"/>
      <c r="K118" s="7"/>
    </row>
    <row r="119" spans="1:11" ht="18" customHeight="1">
      <c r="A119" s="88"/>
      <c r="B119" s="127"/>
      <c r="C119" s="128"/>
      <c r="D119" s="88"/>
      <c r="E119" s="88"/>
      <c r="F119" s="129"/>
      <c r="G119" s="129"/>
      <c r="H119" s="129"/>
      <c r="I119" s="126"/>
      <c r="J119" s="126"/>
      <c r="K119" s="7"/>
    </row>
    <row r="120" spans="1:11" ht="18" customHeight="1">
      <c r="A120" s="88"/>
      <c r="B120" s="225" t="s">
        <v>30</v>
      </c>
      <c r="C120" s="226"/>
      <c r="D120" s="226"/>
      <c r="E120" s="226"/>
      <c r="F120" s="226"/>
      <c r="G120" s="226"/>
      <c r="H120" s="226"/>
      <c r="I120" s="226"/>
      <c r="J120" s="227"/>
      <c r="K120" s="130"/>
    </row>
    <row r="121" spans="1:11" ht="36" customHeight="1">
      <c r="A121" s="88"/>
      <c r="B121" s="228" t="s">
        <v>157</v>
      </c>
      <c r="C121" s="229"/>
      <c r="D121" s="229"/>
      <c r="E121" s="229"/>
      <c r="F121" s="229"/>
      <c r="G121" s="229"/>
      <c r="H121" s="229"/>
      <c r="I121" s="229"/>
      <c r="J121" s="230"/>
      <c r="K121" s="130"/>
    </row>
    <row r="122" spans="1:11" ht="51" customHeight="1">
      <c r="A122" s="88"/>
      <c r="B122" s="228" t="s">
        <v>153</v>
      </c>
      <c r="C122" s="229"/>
      <c r="D122" s="229"/>
      <c r="E122" s="229"/>
      <c r="F122" s="229"/>
      <c r="G122" s="229"/>
      <c r="H122" s="229"/>
      <c r="I122" s="229"/>
      <c r="J122" s="230"/>
      <c r="K122" s="131"/>
    </row>
    <row r="123" spans="1:11" ht="18">
      <c r="A123" s="88"/>
      <c r="B123" s="228" t="s">
        <v>154</v>
      </c>
      <c r="C123" s="229"/>
      <c r="D123" s="229"/>
      <c r="E123" s="229"/>
      <c r="F123" s="229"/>
      <c r="G123" s="229"/>
      <c r="H123" s="229"/>
      <c r="I123" s="229"/>
      <c r="J123" s="230"/>
      <c r="K123" s="130"/>
    </row>
    <row r="124" spans="1:11" ht="18">
      <c r="A124" s="88"/>
      <c r="B124" s="228" t="s">
        <v>56</v>
      </c>
      <c r="C124" s="229"/>
      <c r="D124" s="229"/>
      <c r="E124" s="229"/>
      <c r="F124" s="229"/>
      <c r="G124" s="229"/>
      <c r="H124" s="229"/>
      <c r="I124" s="229"/>
      <c r="J124" s="230"/>
      <c r="K124" s="130"/>
    </row>
    <row r="125" spans="1:11" ht="18">
      <c r="A125" s="88"/>
      <c r="B125" s="222" t="s">
        <v>79</v>
      </c>
      <c r="C125" s="223"/>
      <c r="D125" s="223"/>
      <c r="E125" s="223"/>
      <c r="F125" s="223"/>
      <c r="G125" s="223"/>
      <c r="H125" s="223"/>
      <c r="I125" s="223"/>
      <c r="J125" s="224"/>
      <c r="K125" s="130"/>
    </row>
    <row r="126" spans="1:11" ht="18.75">
      <c r="A126" s="88"/>
      <c r="B126" s="233" t="s">
        <v>80</v>
      </c>
      <c r="C126" s="234"/>
      <c r="D126" s="234"/>
      <c r="E126" s="234"/>
      <c r="F126" s="234"/>
      <c r="G126" s="234"/>
      <c r="H126" s="234"/>
      <c r="I126" s="234"/>
      <c r="J126" s="235"/>
      <c r="K126" s="131"/>
    </row>
    <row r="127" spans="1:11" ht="18" customHeight="1">
      <c r="A127" s="88"/>
      <c r="B127" s="132"/>
      <c r="C127" s="133"/>
      <c r="D127" s="133"/>
      <c r="E127" s="133"/>
      <c r="F127" s="133"/>
      <c r="G127" s="133"/>
      <c r="H127" s="133"/>
      <c r="I127" s="133"/>
      <c r="J127" s="133"/>
      <c r="K127" s="134"/>
    </row>
    <row r="128" spans="1:11" ht="16.5" customHeight="1">
      <c r="A128" s="88"/>
      <c r="B128" s="135"/>
      <c r="C128" s="135"/>
      <c r="D128" s="135"/>
      <c r="E128" s="135"/>
      <c r="F128" s="135"/>
      <c r="G128" s="136"/>
      <c r="H128" s="135"/>
      <c r="I128" s="135"/>
      <c r="J128" s="135"/>
      <c r="K128" s="90"/>
    </row>
    <row r="129" spans="1:11" ht="15">
      <c r="A129" s="88"/>
      <c r="B129" s="137"/>
      <c r="C129" s="137"/>
      <c r="D129" s="137"/>
      <c r="E129" s="137"/>
      <c r="F129" s="137"/>
      <c r="G129" s="138"/>
      <c r="H129" s="137"/>
      <c r="I129" s="137"/>
      <c r="J129" s="137"/>
      <c r="K129" s="90"/>
    </row>
  </sheetData>
  <sheetProtection/>
  <mergeCells count="107">
    <mergeCell ref="E41:F41"/>
    <mergeCell ref="E64:F64"/>
    <mergeCell ref="E24:F24"/>
    <mergeCell ref="E25:F25"/>
    <mergeCell ref="E26:F26"/>
    <mergeCell ref="E37:F37"/>
    <mergeCell ref="E38:F38"/>
    <mergeCell ref="E27:F27"/>
    <mergeCell ref="E33:F33"/>
    <mergeCell ref="E20:F20"/>
    <mergeCell ref="E21:F21"/>
    <mergeCell ref="E70:F70"/>
    <mergeCell ref="B39:I39"/>
    <mergeCell ref="E28:F28"/>
    <mergeCell ref="E29:F29"/>
    <mergeCell ref="E36:F36"/>
    <mergeCell ref="E35:F35"/>
    <mergeCell ref="E34:F34"/>
    <mergeCell ref="B41:D41"/>
    <mergeCell ref="B30:I30"/>
    <mergeCell ref="E32:F32"/>
    <mergeCell ref="E63:F63"/>
    <mergeCell ref="B2:J2"/>
    <mergeCell ref="E3:G3"/>
    <mergeCell ref="B12:E12"/>
    <mergeCell ref="G12:J12"/>
    <mergeCell ref="D4:H4"/>
    <mergeCell ref="B21:D21"/>
    <mergeCell ref="D6:J6"/>
    <mergeCell ref="B109:D109"/>
    <mergeCell ref="E107:J107"/>
    <mergeCell ref="E96:F96"/>
    <mergeCell ref="E22:F22"/>
    <mergeCell ref="E23:F23"/>
    <mergeCell ref="E109:F109"/>
    <mergeCell ref="B97:D97"/>
    <mergeCell ref="E53:F53"/>
    <mergeCell ref="E60:F60"/>
    <mergeCell ref="B32:D32"/>
    <mergeCell ref="E117:F118"/>
    <mergeCell ref="B124:J124"/>
    <mergeCell ref="E67:F67"/>
    <mergeCell ref="B117:D118"/>
    <mergeCell ref="I117:J118"/>
    <mergeCell ref="I108:J108"/>
    <mergeCell ref="G117:H118"/>
    <mergeCell ref="E111:F111"/>
    <mergeCell ref="G109:H109"/>
    <mergeCell ref="G110:H110"/>
    <mergeCell ref="E56:F56"/>
    <mergeCell ref="E57:F57"/>
    <mergeCell ref="I115:J116"/>
    <mergeCell ref="G108:H108"/>
    <mergeCell ref="B93:D93"/>
    <mergeCell ref="B94:D94"/>
    <mergeCell ref="B111:D111"/>
    <mergeCell ref="E108:F108"/>
    <mergeCell ref="B96:D96"/>
    <mergeCell ref="B95:D95"/>
    <mergeCell ref="E80:F80"/>
    <mergeCell ref="E81:F81"/>
    <mergeCell ref="E73:F73"/>
    <mergeCell ref="E74:F74"/>
    <mergeCell ref="B113:J114"/>
    <mergeCell ref="J100:J101"/>
    <mergeCell ref="B105:J105"/>
    <mergeCell ref="I111:J111"/>
    <mergeCell ref="B98:I98"/>
    <mergeCell ref="E97:F97"/>
    <mergeCell ref="E43:F43"/>
    <mergeCell ref="E44:F44"/>
    <mergeCell ref="E45:F45"/>
    <mergeCell ref="E46:F46"/>
    <mergeCell ref="E54:F54"/>
    <mergeCell ref="E55:F55"/>
    <mergeCell ref="E49:F49"/>
    <mergeCell ref="E50:F50"/>
    <mergeCell ref="E75:F75"/>
    <mergeCell ref="E76:F76"/>
    <mergeCell ref="E77:F77"/>
    <mergeCell ref="E94:F94"/>
    <mergeCell ref="E83:F83"/>
    <mergeCell ref="B126:J126"/>
    <mergeCell ref="E84:F84"/>
    <mergeCell ref="B121:J121"/>
    <mergeCell ref="B122:J122"/>
    <mergeCell ref="E90:F90"/>
    <mergeCell ref="E115:F116"/>
    <mergeCell ref="E95:F95"/>
    <mergeCell ref="B107:D108"/>
    <mergeCell ref="G111:H111"/>
    <mergeCell ref="B125:J125"/>
    <mergeCell ref="B120:J120"/>
    <mergeCell ref="B123:J123"/>
    <mergeCell ref="B115:D116"/>
    <mergeCell ref="B100:I101"/>
    <mergeCell ref="G115:H116"/>
    <mergeCell ref="E85:F85"/>
    <mergeCell ref="B88:I88"/>
    <mergeCell ref="E82:F82"/>
    <mergeCell ref="I109:J109"/>
    <mergeCell ref="B106:J106"/>
    <mergeCell ref="B110:D110"/>
    <mergeCell ref="I110:J110"/>
    <mergeCell ref="E110:F110"/>
    <mergeCell ref="B86:I86"/>
    <mergeCell ref="E93:F9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9" r:id="rId2"/>
  <rowBreaks count="1" manualBreakCount="1">
    <brk id="78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E9" sqref="E9"/>
    </sheetView>
  </sheetViews>
  <sheetFormatPr defaultColWidth="11.421875" defaultRowHeight="15"/>
  <cols>
    <col min="1" max="1" width="20.00390625" style="1" customWidth="1"/>
    <col min="2" max="2" width="32.57421875" style="1" customWidth="1"/>
    <col min="3" max="3" width="12.00390625" style="1" bestFit="1" customWidth="1"/>
    <col min="4" max="4" width="12.421875" style="1" bestFit="1" customWidth="1"/>
    <col min="5" max="5" width="13.140625" style="1" bestFit="1" customWidth="1"/>
    <col min="6" max="8" width="11.421875" style="1" customWidth="1"/>
    <col min="9" max="9" width="16.140625" style="1" customWidth="1"/>
    <col min="10" max="16384" width="11.421875" style="1" customWidth="1"/>
  </cols>
  <sheetData>
    <row r="1" spans="2:3" ht="15">
      <c r="B1" s="21" t="s">
        <v>73</v>
      </c>
      <c r="C1" s="24">
        <v>18500</v>
      </c>
    </row>
    <row r="2" spans="2:3" ht="15">
      <c r="B2" s="21" t="s">
        <v>74</v>
      </c>
      <c r="C2" s="74">
        <f>((rendimiento-$C$1)/$C$1)+1</f>
        <v>1</v>
      </c>
    </row>
    <row r="3" ht="18">
      <c r="B3" s="5"/>
    </row>
    <row r="4" spans="2:12" ht="18">
      <c r="B4" s="304" t="s">
        <v>33</v>
      </c>
      <c r="C4" s="304"/>
      <c r="E4" s="1" t="s">
        <v>78</v>
      </c>
      <c r="K4" s="76"/>
      <c r="L4" s="3"/>
    </row>
    <row r="5" spans="1:5" ht="18">
      <c r="A5" s="77" t="s">
        <v>75</v>
      </c>
      <c r="B5" s="78" t="s">
        <v>84</v>
      </c>
      <c r="C5" s="79"/>
      <c r="D5" s="79"/>
      <c r="E5" s="80">
        <v>18500</v>
      </c>
    </row>
    <row r="6" spans="1:5" ht="18">
      <c r="A6" s="77" t="s">
        <v>75</v>
      </c>
      <c r="B6" s="78" t="s">
        <v>85</v>
      </c>
      <c r="C6" s="81"/>
      <c r="D6" s="81"/>
      <c r="E6" s="80">
        <v>18500</v>
      </c>
    </row>
    <row r="7" spans="1:5" ht="18">
      <c r="A7" s="77" t="s">
        <v>75</v>
      </c>
      <c r="B7" s="78"/>
      <c r="C7" s="81"/>
      <c r="D7" s="81"/>
      <c r="E7" s="80"/>
    </row>
    <row r="8" spans="1:5" ht="18">
      <c r="A8" s="82" t="s">
        <v>76</v>
      </c>
      <c r="B8" s="83" t="s">
        <v>147</v>
      </c>
      <c r="C8" s="86"/>
      <c r="D8" s="86"/>
      <c r="E8" s="85">
        <v>18500</v>
      </c>
    </row>
    <row r="9" spans="1:5" ht="18">
      <c r="A9" s="82" t="s">
        <v>76</v>
      </c>
      <c r="B9" s="83" t="s">
        <v>86</v>
      </c>
      <c r="C9" s="86"/>
      <c r="D9" s="86"/>
      <c r="E9" s="85">
        <v>18500</v>
      </c>
    </row>
    <row r="10" spans="1:5" ht="18">
      <c r="A10" s="82" t="s">
        <v>76</v>
      </c>
      <c r="B10" s="83"/>
      <c r="C10" s="84"/>
      <c r="D10" s="84"/>
      <c r="E10" s="85"/>
    </row>
    <row r="11" spans="1:5" ht="18">
      <c r="A11" s="77" t="s">
        <v>77</v>
      </c>
      <c r="B11" s="78"/>
      <c r="C11" s="79"/>
      <c r="D11" s="79"/>
      <c r="E11" s="80"/>
    </row>
    <row r="12" spans="1:5" ht="18">
      <c r="A12" s="77" t="s">
        <v>77</v>
      </c>
      <c r="B12" s="78"/>
      <c r="C12" s="79"/>
      <c r="D12" s="79"/>
      <c r="E12" s="80"/>
    </row>
    <row r="13" spans="1:5" ht="18">
      <c r="A13" s="77" t="s">
        <v>77</v>
      </c>
      <c r="B13" s="78"/>
      <c r="C13" s="87"/>
      <c r="D13" s="87"/>
      <c r="E13" s="80"/>
    </row>
    <row r="18" spans="2:4" ht="15">
      <c r="B18" s="305" t="s">
        <v>29</v>
      </c>
      <c r="C18" s="305"/>
      <c r="D18" s="305"/>
    </row>
    <row r="20" spans="2:4" ht="18">
      <c r="B20" s="23" t="s">
        <v>31</v>
      </c>
      <c r="C20" s="22">
        <f>kiwi!B109</f>
        <v>16650</v>
      </c>
      <c r="D20" s="22">
        <f>kiwi!B111</f>
        <v>20350</v>
      </c>
    </row>
    <row r="21" ht="15">
      <c r="B21" s="13"/>
    </row>
    <row r="22" spans="2:4" ht="15">
      <c r="B22" s="21" t="s">
        <v>32</v>
      </c>
      <c r="C22" s="24">
        <f>((C20-rendimiento)/rendimiento)+1</f>
        <v>0.9</v>
      </c>
      <c r="D22" s="24">
        <f>((D20-rendimiento)/rendimiento)+1</f>
        <v>1.1</v>
      </c>
    </row>
    <row r="23" spans="2:4" ht="18">
      <c r="B23" s="8"/>
      <c r="C23" s="22"/>
      <c r="D23" s="22"/>
    </row>
    <row r="24" spans="2:6" ht="18">
      <c r="B24" s="23" t="s">
        <v>19</v>
      </c>
      <c r="C24" s="22"/>
      <c r="D24" s="22"/>
      <c r="E24" s="3"/>
      <c r="F24" s="3"/>
    </row>
    <row r="25" spans="2:5" ht="18">
      <c r="B25" s="8" t="s">
        <v>35</v>
      </c>
      <c r="C25" s="3">
        <f>SUM(kiwi!J22:J29)-_xlfn.IFERROR(INDEX(kiwi!$J$22:$J$29,MATCH(B5,kiwi!$B$22:$B$29,0)),"0")-_xlfn.IFERROR(INDEX(kiwi!$J$22:$J$29,MATCH(B6,kiwi!$B$22:$B$29,0)),"0")-_xlfn.IFERROR(INDEX(kiwi!$J$22:$J$29,MATCH(B7,kiwi!$B$22:$B$29,0)),"0")</f>
        <v>941250</v>
      </c>
      <c r="D25" s="3">
        <f>SUM(kiwi!J22:J29)-_xlfn.IFERROR(INDEX(kiwi!$J$22:$J$29,MATCH(B5,kiwi!$B$22:$B$29,0)),"0")-_xlfn.IFERROR(INDEX(kiwi!$J$22:$J$29,MATCH(B6,kiwi!$B$22:$B$29,0)),"0")-_xlfn.IFERROR(INDEX(kiwi!$J$22:$J$29,MATCH(B7,kiwi!$B$22:$B$29,0)),"0")</f>
        <v>941250</v>
      </c>
      <c r="E25" s="3"/>
    </row>
    <row r="26" spans="2:4" ht="18">
      <c r="B26" s="25" t="s">
        <v>36</v>
      </c>
      <c r="C26" s="75">
        <f>C22*(_xlfn.IFERROR(INDEX(kiwi!$J$22:$J$29,MATCH(B5,kiwi!$B$22:$B$29,0)),"0")+_xlfn.IFERROR(INDEX(kiwi!$J$22:$J$29,MATCH(B6,kiwi!$B$22:$B$29,0)),"0")+_xlfn.IFERROR(INDEX(kiwi!$J$22:$J$29,MATCH(B7,kiwi!$B$22:$B$29,0)),"0"))</f>
        <v>333000</v>
      </c>
      <c r="D26" s="75">
        <f>D22*(_xlfn.IFERROR(INDEX(kiwi!$J$22:$J$29,MATCH(B5,kiwi!$B$22:$B$29,0)),"0")+_xlfn.IFERROR(INDEX(kiwi!$J$22:$J$29,MATCH(B6,kiwi!$B$22:$B$29,0)),"0")+_xlfn.IFERROR(INDEX(kiwi!$J$22:$J$29,MATCH(B7,kiwi!$B$22:$B$29,0)),"0"))</f>
        <v>407000.00000000006</v>
      </c>
    </row>
    <row r="27" spans="2:4" ht="18">
      <c r="B27" s="8" t="s">
        <v>37</v>
      </c>
      <c r="C27" s="3">
        <f>SUM(C25:C26)</f>
        <v>1274250</v>
      </c>
      <c r="D27" s="3">
        <f>SUM(D25:D26)</f>
        <v>1348250</v>
      </c>
    </row>
    <row r="28" ht="18">
      <c r="B28" s="8"/>
    </row>
    <row r="29" ht="18">
      <c r="B29" s="23" t="s">
        <v>21</v>
      </c>
    </row>
    <row r="30" spans="2:4" ht="18">
      <c r="B30" s="8" t="s">
        <v>35</v>
      </c>
      <c r="C30" s="3">
        <f>SUM(kiwi!J33:J38)-_xlfn.IFERROR(INDEX(kiwi!$J$33:$J$38,MATCH(B8,kiwi!$B$33:$B$38,0)),"0")-_xlfn.IFERROR(INDEX(kiwi!$J$33:$J$38,MATCH(B9,kiwi!$B$33:$B$38,0)),"0")-_xlfn.IFERROR(INDEX(kiwi!$J$33:$J$38,MATCH(B10,kiwi!$B$33:$B$38,0)),"0")</f>
        <v>360000</v>
      </c>
      <c r="D30" s="3">
        <f>SUM(kiwi!J33:J38)-_xlfn.IFERROR(INDEX(kiwi!$J$33:$J$38,MATCH(B8,kiwi!$B$33:$B$38,0)),"0")-_xlfn.IFERROR(INDEX(kiwi!$J$33:$J$38,MATCH(B9,kiwi!$B$33:$B$38,0)),"0")-_xlfn.IFERROR(INDEX(kiwi!$J$33:$J$38,MATCH(B10,kiwi!$B$33:$B$38,0)),"0")</f>
        <v>360000</v>
      </c>
    </row>
    <row r="31" spans="2:4" ht="18">
      <c r="B31" s="25" t="s">
        <v>36</v>
      </c>
      <c r="C31" s="75">
        <f>C22*(_xlfn.IFERROR(INDEX(kiwi!$J$33:$J$38,MATCH(B8,kiwi!$B$33:$B$38,0)),"0")+_xlfn.IFERROR(INDEX(kiwi!$J$33:$J$38,MATCH(B9,kiwi!$B$33:$B$38,0)),"0")+_xlfn.IFERROR(INDEX(kiwi!$J$33:$J$38,MATCH(B10,kiwi!$B$33:$B$38,0)),"0"))</f>
        <v>199800</v>
      </c>
      <c r="D31" s="75">
        <f>D22*(_xlfn.IFERROR(INDEX(kiwi!$J$33:$J$38,MATCH(B8,kiwi!$B$33:$B$38,0)),"0")+_xlfn.IFERROR(INDEX(kiwi!$J$33:$J$38,MATCH(B9,kiwi!$B$33:$B$38,0)),"0")+_xlfn.IFERROR(INDEX(kiwi!$J$33:$J$38,MATCH(B10,kiwi!$B$33:$B$38,0)),"0"))</f>
        <v>244200.00000000003</v>
      </c>
    </row>
    <row r="32" spans="2:4" ht="18">
      <c r="B32" s="8" t="s">
        <v>37</v>
      </c>
      <c r="C32" s="3">
        <f>SUM(C30:C31)</f>
        <v>559800</v>
      </c>
      <c r="D32" s="3">
        <f>SUM(D30:D31)</f>
        <v>604200</v>
      </c>
    </row>
    <row r="34" ht="18">
      <c r="B34" s="23" t="s">
        <v>38</v>
      </c>
    </row>
    <row r="35" spans="2:4" ht="18">
      <c r="B35" s="8" t="s">
        <v>35</v>
      </c>
      <c r="C35" s="3">
        <f>SUM(kiwi!J42:J85)-_xlfn.IFERROR(INDEX(kiwi!$J$42:$J$85,MATCH(B11,kiwi!$B$42:$B$85,0)),"0")-_xlfn.IFERROR(INDEX(kiwi!$J$42:$J$85,MATCH(B12,kiwi!$B$42:$B$85,0)),"0")-_xlfn.IFERROR(INDEX(kiwi!$J$42:$J$85,MATCH(B13,kiwi!$B$42:$B$85,0)),"0")</f>
        <v>1446980</v>
      </c>
      <c r="D35" s="3">
        <f>SUM(kiwi!J42:J85)-_xlfn.IFERROR(INDEX(kiwi!$J$42:$J$85,MATCH(B11,kiwi!$B$42:$B$85,0)),"0")-_xlfn.IFERROR(INDEX(kiwi!$J$42:$J$85,MATCH(B12,kiwi!$B$42:$B$85,0)),"0")-_xlfn.IFERROR(INDEX(kiwi!$J$42:$J$85,MATCH(B13,kiwi!$B$42:$B$85,0)),"0")</f>
        <v>1446980</v>
      </c>
    </row>
    <row r="36" spans="2:4" ht="18">
      <c r="B36" s="25" t="s">
        <v>36</v>
      </c>
      <c r="C36" s="75">
        <f>C22*(_xlfn.IFERROR(INDEX(kiwi!$J$42:$J$85,MATCH(B11,kiwi!$B$42:$B$85,0)),"0")+_xlfn.IFERROR(INDEX(kiwi!$J$42:$J$85,MATCH(B12,kiwi!$B$42:$B$85,0)),"0")+_xlfn.IFERROR(INDEX(kiwi!$J$42:$J$85,MATCH(B13,kiwi!$B$42:$B$85,0)),"0"))</f>
        <v>0</v>
      </c>
      <c r="D36" s="75">
        <f>D22*(_xlfn.IFERROR(INDEX(kiwi!$J$42:$J$85,MATCH(B11,kiwi!$B$42:$B$85,0)),"0")+_xlfn.IFERROR(INDEX(kiwi!$J$42:$J$85,MATCH(B12,kiwi!$B$42:$B$85,0)),"0")+_xlfn.IFERROR(INDEX(kiwi!$J$42:$J$85,MATCH(B13,kiwi!$B$42:$B$85,0)),"0"))</f>
        <v>0</v>
      </c>
    </row>
    <row r="37" spans="2:4" ht="18">
      <c r="B37" s="8" t="s">
        <v>37</v>
      </c>
      <c r="C37" s="3">
        <f>SUM(C35:C36)</f>
        <v>1446980</v>
      </c>
      <c r="D37" s="3">
        <f>SUM(D35:D36)</f>
        <v>1446980</v>
      </c>
    </row>
    <row r="38" spans="2:4" ht="15">
      <c r="B38" s="13"/>
      <c r="C38" s="16"/>
      <c r="D38" s="16"/>
    </row>
    <row r="39" spans="2:4" ht="18">
      <c r="B39" s="27" t="s">
        <v>39</v>
      </c>
      <c r="C39" s="28">
        <f>C27+C32+C37</f>
        <v>3281030</v>
      </c>
      <c r="D39" s="28">
        <f>D27+D32+D37</f>
        <v>3399430</v>
      </c>
    </row>
    <row r="40" ht="15">
      <c r="B40" s="13"/>
    </row>
    <row r="41" spans="2:4" ht="18">
      <c r="B41" s="26" t="s">
        <v>0</v>
      </c>
      <c r="C41" s="3">
        <f>C39*kiwi!$G$90</f>
        <v>164051.5</v>
      </c>
      <c r="D41" s="3">
        <f>D39*kiwi!$G$90</f>
        <v>169971.5</v>
      </c>
    </row>
    <row r="42" spans="2:4" ht="18">
      <c r="B42" s="26" t="s">
        <v>25</v>
      </c>
      <c r="C42" s="3">
        <f>C39*tasa_interes_mensual*meses_financiamiento*0.5</f>
        <v>295292.69999999995</v>
      </c>
      <c r="D42" s="3">
        <f>D39*tasa_interes_mensual*meses_financiamiento*0.5</f>
        <v>305948.69999999995</v>
      </c>
    </row>
    <row r="43" ht="15">
      <c r="B43" s="13"/>
    </row>
    <row r="44" spans="2:4" ht="18">
      <c r="B44" s="27" t="s">
        <v>28</v>
      </c>
      <c r="C44" s="28">
        <f>C39+C41+C42</f>
        <v>3740374.2</v>
      </c>
      <c r="D44" s="28">
        <f>D39+D41+D42</f>
        <v>3875350.2</v>
      </c>
    </row>
  </sheetData>
  <sheetProtection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>nov2017</cp:keywords>
  <dc:description/>
  <cp:lastModifiedBy>David Cohen Pacini</cp:lastModifiedBy>
  <cp:lastPrinted>2017-11-28T19:24:22Z</cp:lastPrinted>
  <dcterms:created xsi:type="dcterms:W3CDTF">2012-07-09T18:51:50Z</dcterms:created>
  <dcterms:modified xsi:type="dcterms:W3CDTF">2017-11-28T19:25:11Z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e00b0314-5dda-4fdd-8d89-bca451570c3d</vt:lpwstr>
  </property>
</Properties>
</file>