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20" windowWidth="20730" windowHeight="8175" activeTab="0"/>
  </bookViews>
  <sheets>
    <sheet name="Tomate industrial mecanizado" sheetId="1" r:id="rId1"/>
    <sheet name="Hoja1" sheetId="2" r:id="rId2"/>
  </sheets>
  <definedNames>
    <definedName name="_xlnm.Print_Area" localSheetId="0">'Tomate industrial mecanizado'!$A$1:$K$118</definedName>
  </definedNames>
  <calcPr fullCalcOnLoad="1"/>
</workbook>
</file>

<file path=xl/sharedStrings.xml><?xml version="1.0" encoding="utf-8"?>
<sst xmlns="http://schemas.openxmlformats.org/spreadsheetml/2006/main" count="203" uniqueCount="135">
  <si>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</si>
  <si>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</si>
  <si>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</si>
  <si>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</si>
  <si>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</si>
  <si>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</si>
  <si>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</si>
  <si>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</si>
  <si>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</si>
  <si>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</si>
  <si>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</si>
  <si>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</si>
  <si>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</si>
  <si>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</si>
  <si>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</si>
  <si>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</si>
  <si>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</si>
  <si>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</si>
  <si>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</si>
  <si>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</si>
  <si>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</si>
  <si>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</si>
  <si>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</si>
  <si>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</si>
  <si>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</si>
  <si>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</si>
  <si>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</si>
  <si>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</si>
  <si>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</si>
  <si>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</si>
  <si>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</si>
  <si>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</si>
  <si>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</si>
  <si>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</si>
  <si>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</si>
  <si>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</si>
  <si>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</si>
  <si>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</si>
  <si>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</si>
  <si>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</si>
  <si>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</si>
  <si>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</si>
  <si>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</si>
  <si>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ha</t>
  </si>
  <si>
    <t>Tecnología: media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</si>
  <si>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</si>
  <si>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</si>
  <si>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</si>
  <si>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</si>
  <si>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</si>
  <si>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</si>
  <si>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Control manual de malezas</t>
  </si>
  <si>
    <t>Rastrajes</t>
  </si>
  <si>
    <t>Acequiadura</t>
  </si>
  <si>
    <t>Acarreo de insumos</t>
  </si>
  <si>
    <t>Notas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</si>
  <si>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</si>
  <si>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 para distintos rendimientos.</t>
  </si>
  <si>
    <t xml:space="preserve">Aradura </t>
  </si>
  <si>
    <t>Precio($/Un)</t>
  </si>
  <si>
    <t>Octubre-enero</t>
  </si>
  <si>
    <t>Noviembre-diciembre</t>
  </si>
  <si>
    <t>Octubre-febrero</t>
  </si>
  <si>
    <t>Septiembre-octubre</t>
  </si>
  <si>
    <t>Octubre-noviembre</t>
  </si>
  <si>
    <t>Cultivación entre hileras y aplicar fertilizante</t>
  </si>
  <si>
    <t xml:space="preserve">        </t>
  </si>
  <si>
    <t>Régimen hídrico: riego por surco</t>
  </si>
  <si>
    <t>Sistema de conducción: botado</t>
  </si>
  <si>
    <t xml:space="preserve"> (3) Los insumos, el nombre del híbrido,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</si>
  <si>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Trasplante</t>
  </si>
  <si>
    <t xml:space="preserve"> (5) 1,5% mensual simple. Tasa de interés promedio de las empresas distribuidoras de insumos.</t>
  </si>
  <si>
    <t>Rendimiento (Kg/ha):</t>
  </si>
  <si>
    <t>Costo unitario (Kg)</t>
  </si>
  <si>
    <t>Rendimiento (Kg/ha)</t>
  </si>
  <si>
    <t>Precio ($/Kg)</t>
  </si>
  <si>
    <t>Costo Unitario ($/Kg)</t>
  </si>
  <si>
    <t xml:space="preserve">  </t>
  </si>
  <si>
    <t>Imprevistos</t>
  </si>
  <si>
    <t>Imprevistos (5% sobre el total de los costos)</t>
  </si>
  <si>
    <t>Región O' Higgins</t>
  </si>
  <si>
    <t xml:space="preserve"> </t>
  </si>
  <si>
    <t>U</t>
  </si>
  <si>
    <t>Tomate industrial mecanizado</t>
  </si>
  <si>
    <t>Variedades: Tomate industrial</t>
  </si>
  <si>
    <t>Arreglo de acequia</t>
  </si>
  <si>
    <t>Aplicación  de pesticidas</t>
  </si>
  <si>
    <t>Cosecha con maquina y tractor</t>
  </si>
  <si>
    <t>Flete</t>
  </si>
  <si>
    <t>Septiembre-noviembre</t>
  </si>
  <si>
    <t>Melgadura con fertilizante</t>
  </si>
  <si>
    <t>Tranplante con máquina</t>
  </si>
  <si>
    <t>Mezcla tomate industrial inicial</t>
  </si>
  <si>
    <t>Mezcla tomate industrial para el desarrollo</t>
  </si>
  <si>
    <t>Strepto Plus</t>
  </si>
  <si>
    <t>Fast Plus</t>
  </si>
  <si>
    <t>Bravo 720</t>
  </si>
  <si>
    <t>Dual Gold 960 SC</t>
  </si>
  <si>
    <t>Bectra 48 SC</t>
  </si>
  <si>
    <t>Matrix</t>
  </si>
  <si>
    <t>Otros:</t>
  </si>
  <si>
    <t>Enraizante</t>
  </si>
  <si>
    <t>Induce PH</t>
  </si>
  <si>
    <t>Kendal</t>
  </si>
  <si>
    <t>Octubre-marzo</t>
  </si>
  <si>
    <t>Enero-abril</t>
  </si>
  <si>
    <t>Octubre-diciembre</t>
  </si>
  <si>
    <t>Noviembre-enero</t>
  </si>
  <si>
    <t>Septiembre-marzo</t>
  </si>
  <si>
    <t>Septiembre-febrero</t>
  </si>
  <si>
    <t>Septiembre-enero</t>
  </si>
  <si>
    <t>Fecha cosecha: enero-abril</t>
  </si>
  <si>
    <r>
      <t xml:space="preserve">Cosecha </t>
    </r>
    <r>
      <rPr>
        <vertAlign val="superscript"/>
        <sz val="14"/>
        <rFont val="Arial"/>
        <family val="2"/>
      </rPr>
      <t>(2)</t>
    </r>
    <r>
      <rPr>
        <sz val="14"/>
        <rFont val="Arial"/>
        <family val="2"/>
      </rPr>
      <t>: maquina y camino</t>
    </r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</si>
  <si>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</si>
  <si>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(3)</t>
    </r>
  </si>
  <si>
    <r>
      <t xml:space="preserve">Plantas </t>
    </r>
    <r>
      <rPr>
        <vertAlign val="superscript"/>
        <sz val="14"/>
        <rFont val="Arial"/>
        <family val="2"/>
      </rPr>
      <t>(4)</t>
    </r>
    <r>
      <rPr>
        <sz val="14"/>
        <rFont val="Arial"/>
        <family val="2"/>
      </rPr>
      <t>: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</si>
  <si>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</si>
  <si>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</si>
  <si>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(7)</t>
    </r>
  </si>
  <si>
    <t>1 hectárea junio 2015</t>
  </si>
  <si>
    <t xml:space="preserve"> (1)  El precio del kg de tomate cosechado corresponde al precio promedio, a nivel predial, indicado por los agricultores durante el periodo de cosecha para la temporada 2014/2015.</t>
  </si>
  <si>
    <t xml:space="preserve"> (2) Consiste en hacer caminos que requiere la maquina para la cosecha y el personal.</t>
  </si>
  <si>
    <t>Muralla Delta 190 OD</t>
  </si>
  <si>
    <t>Herbicidas:</t>
  </si>
  <si>
    <t>Acaricidas:</t>
  </si>
  <si>
    <t>Bactericidas:</t>
  </si>
  <si>
    <r>
      <rPr>
        <b/>
        <sz val="14"/>
        <rFont val="Arial"/>
        <family val="2"/>
      </rPr>
      <t>Fungicidas</t>
    </r>
    <r>
      <rPr>
        <sz val="14"/>
        <rFont val="Arial"/>
        <family val="2"/>
      </rPr>
      <t>:</t>
    </r>
  </si>
  <si>
    <t xml:space="preserve"> (4) Plántulas producidas por la agroindustria y entregadas al productor.</t>
  </si>
  <si>
    <t>Consento 450 SC</t>
  </si>
  <si>
    <t>Orthene 75 SP</t>
  </si>
  <si>
    <t>Bulldock 125 SC</t>
  </si>
  <si>
    <t>Destino de producción: industrial</t>
  </si>
  <si>
    <t>Fecha plantación: septiembre-noviembre</t>
  </si>
  <si>
    <t>Densidad (Plantas/ha): 30.000 (1,5m x 0,23m)</t>
  </si>
  <si>
    <t>Rotovator (hacer la mesa para el trasplante)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</si>
</sst>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  <xf numFmtId="0" fontId="5" fillId="0" borderId="10" applyNumberFormat="0" applyFill="0" applyAlignment="0" applyProtection="0"/>
  </cellStyleXfs>
  <cellXfs count="312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8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9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8" fillId="34" borderId="0" xfId="0" applyNumberFormat="1" applyFont="1" applyFill="1" applyAlignment="1">
      <alignment/>
    </xf>
    <xf numFmtId="3" fontId="10" fillId="34" borderId="0" xfId="0" applyNumberFormat="1" applyFont="1" applyFill="1" applyBorder="1" applyAlignment="1">
      <alignment horizontal="center"/>
    </xf>
    <xf numFmtId="181" fontId="58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9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0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1" fillId="0" borderId="0" xfId="56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1" fillId="0" borderId="0" xfId="56" applyFont="1" applyFill="1" applyBorder="1" applyAlignment="1" applyProtection="1">
      <alignment horizontal="center"/>
      <protection/>
    </xf>
    <xf numFmtId="4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>
      <alignment horizontal="right"/>
      <protection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center"/>
      <protection/>
    </xf>
    <xf numFmtId="3" fontId="61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>
      <alignment/>
    </xf>
    <xf numFmtId="181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62" fillId="0" borderId="0" xfId="56" applyFont="1" applyFill="1" applyBorder="1" applyAlignment="1">
      <alignment horizontal="left"/>
      <protection/>
    </xf>
    <xf numFmtId="0" fontId="62" fillId="0" borderId="0" xfId="56" applyFont="1" applyFill="1" applyBorder="1" applyAlignment="1">
      <alignment horizontal="center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62" fillId="0" borderId="0" xfId="56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180" fontId="62" fillId="0" borderId="0" xfId="67" applyFont="1" applyFill="1" applyBorder="1" applyAlignment="1" applyProtection="1">
      <alignment horizontal="right"/>
      <protection/>
    </xf>
    <xf numFmtId="3" fontId="62" fillId="0" borderId="0" xfId="56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8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10" fillId="34" borderId="12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59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8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3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8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3" fillId="34" borderId="1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3" fillId="34" borderId="20" xfId="67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3" fontId="8" fillId="36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0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21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0" fontId="8" fillId="34" borderId="20" xfId="55" applyFont="1" applyFill="1" applyBorder="1">
      <alignment/>
      <protection/>
    </xf>
    <xf numFmtId="181" fontId="8" fillId="34" borderId="17" xfId="0" applyNumberFormat="1" applyFont="1" applyFill="1" applyBorder="1" applyAlignment="1">
      <alignment/>
    </xf>
    <xf numFmtId="3" fontId="8" fillId="34" borderId="18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3" fontId="10" fillId="34" borderId="13" xfId="56" applyNumberFormat="1" applyFont="1" applyFill="1" applyBorder="1" applyAlignment="1">
      <alignment/>
      <protection/>
    </xf>
    <xf numFmtId="183" fontId="8" fillId="34" borderId="20" xfId="56" applyNumberFormat="1" applyFont="1" applyFill="1" applyBorder="1" applyAlignment="1">
      <alignment/>
      <protection/>
    </xf>
    <xf numFmtId="181" fontId="62" fillId="23" borderId="22" xfId="56" applyNumberFormat="1" applyFont="1" applyFill="1" applyBorder="1" applyAlignment="1" applyProtection="1">
      <alignment horizontal="center" vertical="center" wrapText="1"/>
      <protection/>
    </xf>
    <xf numFmtId="0" fontId="62" fillId="23" borderId="22" xfId="56" applyFont="1" applyFill="1" applyBorder="1" applyAlignment="1" applyProtection="1">
      <alignment horizontal="center" vertical="center" wrapText="1"/>
      <protection/>
    </xf>
    <xf numFmtId="3" fontId="62" fillId="23" borderId="22" xfId="56" applyNumberFormat="1" applyFont="1" applyFill="1" applyBorder="1" applyAlignment="1" applyProtection="1">
      <alignment horizontal="center" vertical="center" wrapText="1"/>
      <protection/>
    </xf>
    <xf numFmtId="3" fontId="62" fillId="23" borderId="16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8" fillId="34" borderId="0" xfId="0" applyNumberFormat="1" applyFont="1" applyFill="1" applyBorder="1" applyAlignment="1">
      <alignment/>
    </xf>
    <xf numFmtId="2" fontId="59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3" fillId="34" borderId="0" xfId="67" applyNumberFormat="1" applyFont="1" applyFill="1" applyBorder="1" applyAlignment="1">
      <alignment/>
      <protection/>
    </xf>
    <xf numFmtId="181" fontId="59" fillId="34" borderId="0" xfId="67" applyNumberFormat="1" applyFont="1" applyFill="1" applyBorder="1" applyAlignment="1">
      <alignment horizontal="center"/>
      <protection/>
    </xf>
    <xf numFmtId="3" fontId="59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/>
      <protection/>
    </xf>
    <xf numFmtId="0" fontId="13" fillId="0" borderId="19" xfId="56" applyFont="1" applyFill="1" applyBorder="1" applyAlignment="1">
      <alignment vertical="top"/>
      <protection/>
    </xf>
    <xf numFmtId="0" fontId="13" fillId="0" borderId="0" xfId="56" applyFont="1" applyFill="1" applyBorder="1" applyAlignment="1">
      <alignment vertical="top" wrapText="1"/>
      <protection/>
    </xf>
    <xf numFmtId="171" fontId="10" fillId="34" borderId="0" xfId="47" applyFont="1" applyFill="1" applyBorder="1" applyAlignment="1">
      <alignment/>
    </xf>
    <xf numFmtId="171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3" fontId="10" fillId="34" borderId="11" xfId="56" applyNumberFormat="1" applyFont="1" applyFill="1" applyBorder="1" applyAlignment="1" applyProtection="1">
      <alignment horizontal="right" vertical="center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62" fillId="23" borderId="18" xfId="56" applyNumberFormat="1" applyFont="1" applyFill="1" applyBorder="1" applyAlignment="1" applyProtection="1">
      <alignment horizontal="center" vertical="center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181" fontId="63" fillId="34" borderId="21" xfId="0" applyNumberFormat="1" applyFont="1" applyFill="1" applyBorder="1" applyAlignment="1">
      <alignment/>
    </xf>
    <xf numFmtId="0" fontId="10" fillId="34" borderId="0" xfId="56" applyFont="1" applyFill="1" applyBorder="1" applyAlignment="1">
      <alignment horizontal="center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 vertic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22" xfId="67" applyNumberFormat="1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9" fontId="10" fillId="34" borderId="12" xfId="69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55" fillId="34" borderId="0" xfId="0" applyFont="1" applyFill="1" applyAlignment="1">
      <alignment/>
    </xf>
    <xf numFmtId="0" fontId="0" fillId="34" borderId="0" xfId="0" applyFont="1" applyFill="1" applyAlignment="1">
      <alignment/>
    </xf>
    <xf numFmtId="180" fontId="10" fillId="34" borderId="21" xfId="67" applyFont="1" applyFill="1" applyBorder="1" applyAlignment="1" applyProtection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184" fontId="8" fillId="34" borderId="11" xfId="55" applyNumberFormat="1" applyFont="1" applyFill="1" applyBorder="1" applyAlignment="1">
      <alignment horizontal="right"/>
      <protection/>
    </xf>
    <xf numFmtId="0" fontId="10" fillId="34" borderId="17" xfId="56" applyFont="1" applyFill="1" applyBorder="1" applyAlignment="1" applyProtection="1">
      <alignment horizontal="left"/>
      <protection/>
    </xf>
    <xf numFmtId="3" fontId="8" fillId="36" borderId="16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3" fontId="13" fillId="34" borderId="17" xfId="55" applyNumberFormat="1" applyFont="1" applyFill="1" applyBorder="1" applyAlignment="1">
      <alignment horizontal="left" vertical="top" wrapText="1"/>
      <protection/>
    </xf>
    <xf numFmtId="3" fontId="13" fillId="34" borderId="14" xfId="55" applyNumberFormat="1" applyFont="1" applyFill="1" applyBorder="1" applyAlignment="1">
      <alignment horizontal="left" vertical="top" wrapText="1"/>
      <protection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3" fontId="8" fillId="34" borderId="14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0" fontId="62" fillId="23" borderId="15" xfId="56" applyFont="1" applyFill="1" applyBorder="1" applyAlignment="1" applyProtection="1">
      <alignment horizontal="center" vertical="center"/>
      <protection/>
    </xf>
    <xf numFmtId="0" fontId="62" fillId="23" borderId="22" xfId="56" applyFont="1" applyFill="1" applyBorder="1" applyAlignment="1" applyProtection="1">
      <alignment horizontal="center" vertical="center"/>
      <protection/>
    </xf>
    <xf numFmtId="3" fontId="8" fillId="37" borderId="12" xfId="0" applyNumberFormat="1" applyFont="1" applyFill="1" applyBorder="1" applyAlignment="1">
      <alignment horizontal="center" vertical="center"/>
    </xf>
    <xf numFmtId="0" fontId="10" fillId="34" borderId="21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61" fillId="38" borderId="17" xfId="0" applyFont="1" applyFill="1" applyBorder="1" applyAlignment="1">
      <alignment horizontal="center" vertical="center"/>
    </xf>
    <xf numFmtId="0" fontId="61" fillId="38" borderId="14" xfId="0" applyFont="1" applyFill="1" applyBorder="1" applyAlignment="1">
      <alignment horizontal="center" vertical="center"/>
    </xf>
    <xf numFmtId="0" fontId="61" fillId="38" borderId="18" xfId="0" applyFont="1" applyFill="1" applyBorder="1" applyAlignment="1">
      <alignment horizontal="center" vertical="center"/>
    </xf>
    <xf numFmtId="0" fontId="61" fillId="38" borderId="21" xfId="0" applyFont="1" applyFill="1" applyBorder="1" applyAlignment="1">
      <alignment horizontal="center" vertical="center"/>
    </xf>
    <xf numFmtId="0" fontId="61" fillId="38" borderId="13" xfId="0" applyFont="1" applyFill="1" applyBorder="1" applyAlignment="1">
      <alignment horizontal="center" vertical="center"/>
    </xf>
    <xf numFmtId="0" fontId="61" fillId="38" borderId="20" xfId="0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20" xfId="0" applyNumberFormat="1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3" fontId="13" fillId="0" borderId="21" xfId="55" applyNumberFormat="1" applyFont="1" applyFill="1" applyBorder="1" applyAlignment="1">
      <alignment horizontal="left" vertical="top" wrapText="1"/>
      <protection/>
    </xf>
    <xf numFmtId="3" fontId="13" fillId="0" borderId="13" xfId="55" applyNumberFormat="1" applyFont="1" applyFill="1" applyBorder="1" applyAlignment="1">
      <alignment horizontal="left" vertical="top" wrapText="1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0" fontId="61" fillId="38" borderId="17" xfId="0" applyFont="1" applyFill="1" applyBorder="1" applyAlignment="1">
      <alignment horizontal="center"/>
    </xf>
    <xf numFmtId="0" fontId="61" fillId="38" borderId="14" xfId="0" applyFont="1" applyFill="1" applyBorder="1" applyAlignment="1">
      <alignment horizontal="center"/>
    </xf>
    <xf numFmtId="0" fontId="61" fillId="38" borderId="18" xfId="0" applyFont="1" applyFill="1" applyBorder="1" applyAlignment="1">
      <alignment horizontal="center"/>
    </xf>
    <xf numFmtId="0" fontId="61" fillId="38" borderId="21" xfId="0" applyFont="1" applyFill="1" applyBorder="1" applyAlignment="1">
      <alignment horizontal="center"/>
    </xf>
    <xf numFmtId="0" fontId="61" fillId="38" borderId="13" xfId="0" applyFont="1" applyFill="1" applyBorder="1" applyAlignment="1">
      <alignment horizontal="center"/>
    </xf>
    <xf numFmtId="0" fontId="61" fillId="38" borderId="20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0" fontId="10" fillId="34" borderId="12" xfId="56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7" borderId="12" xfId="0" applyFont="1" applyFill="1" applyBorder="1" applyAlignment="1">
      <alignment horizontal="center" vertical="center" wrapText="1"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0" fontId="8" fillId="37" borderId="15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5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1" fillId="39" borderId="15" xfId="55" applyFont="1" applyFill="1" applyBorder="1" applyAlignment="1">
      <alignment horizontal="center"/>
      <protection/>
    </xf>
    <xf numFmtId="0" fontId="61" fillId="39" borderId="22" xfId="55" applyFont="1" applyFill="1" applyBorder="1" applyAlignment="1">
      <alignment horizontal="center"/>
      <protection/>
    </xf>
    <xf numFmtId="0" fontId="61" fillId="39" borderId="16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61" fillId="23" borderId="15" xfId="56" applyFont="1" applyFill="1" applyBorder="1" applyAlignment="1" applyProtection="1">
      <alignment horizontal="left"/>
      <protection/>
    </xf>
    <xf numFmtId="0" fontId="61" fillId="23" borderId="22" xfId="56" applyFont="1" applyFill="1" applyBorder="1" applyAlignment="1" applyProtection="1">
      <alignment horizontal="left"/>
      <protection/>
    </xf>
    <xf numFmtId="17" fontId="61" fillId="39" borderId="17" xfId="67" applyNumberFormat="1" applyFont="1" applyFill="1" applyBorder="1" applyAlignment="1" applyProtection="1">
      <alignment horizontal="center"/>
      <protection/>
    </xf>
    <xf numFmtId="17" fontId="61" fillId="39" borderId="14" xfId="67" applyNumberFormat="1" applyFont="1" applyFill="1" applyBorder="1" applyAlignment="1" applyProtection="1">
      <alignment horizontal="center"/>
      <protection/>
    </xf>
    <xf numFmtId="17" fontId="61" fillId="39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809625</xdr:colOff>
      <xdr:row>12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04825"/>
          <a:ext cx="20574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117</xdr:row>
      <xdr:rowOff>19050</xdr:rowOff>
    </xdr:from>
    <xdr:to>
      <xdr:col>2</xdr:col>
      <xdr:colOff>638175</xdr:colOff>
      <xdr:row>117</xdr:row>
      <xdr:rowOff>133350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14425" y="27841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1"/>
  <sheetViews>
    <sheetView showGridLines="0" tabSelected="1" view="pageBreakPreview" zoomScale="70" zoomScaleNormal="80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16.57421875" style="3" customWidth="1"/>
    <col min="2" max="3" width="18.7109375" style="0" customWidth="1"/>
    <col min="4" max="4" width="21.4218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customWidth="1"/>
    <col min="11" max="11" width="15.7109375" style="10" customWidth="1"/>
    <col min="12" max="12" width="13.1406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92" t="s">
        <v>7</v>
      </c>
      <c r="C2" s="292"/>
      <c r="D2" s="292"/>
      <c r="E2" s="292"/>
      <c r="F2" s="292"/>
      <c r="G2" s="292"/>
      <c r="H2" s="292"/>
      <c r="I2" s="292"/>
      <c r="J2" s="292"/>
    </row>
    <row r="3" spans="2:11" s="3" customFormat="1" ht="18" customHeight="1">
      <c r="B3" s="96"/>
      <c r="C3" s="130"/>
      <c r="D3" s="130"/>
      <c r="E3" s="293" t="s">
        <v>83</v>
      </c>
      <c r="F3" s="293"/>
      <c r="G3" s="293"/>
      <c r="H3" s="130"/>
      <c r="I3" s="131"/>
      <c r="J3" s="130" t="s">
        <v>66</v>
      </c>
      <c r="K3" s="14"/>
    </row>
    <row r="4" spans="2:11" s="3" customFormat="1" ht="18" customHeight="1">
      <c r="B4" s="96"/>
      <c r="C4" s="130"/>
      <c r="D4" s="293" t="s">
        <v>80</v>
      </c>
      <c r="E4" s="293"/>
      <c r="F4" s="293"/>
      <c r="G4" s="293"/>
      <c r="H4" s="293"/>
      <c r="I4" s="130"/>
      <c r="J4" s="130"/>
      <c r="K4" s="14"/>
    </row>
    <row r="5" spans="2:11" s="3" customFormat="1" ht="18" customHeight="1">
      <c r="B5" s="96"/>
      <c r="C5" s="130"/>
      <c r="D5" s="198"/>
      <c r="E5" s="198"/>
      <c r="F5" s="198"/>
      <c r="G5" s="198"/>
      <c r="H5" s="198"/>
      <c r="I5" s="130"/>
      <c r="J5" s="130"/>
      <c r="K5" s="14"/>
    </row>
    <row r="6" spans="2:11" s="3" customFormat="1" ht="18" customHeight="1">
      <c r="B6" s="42"/>
      <c r="C6" s="42"/>
      <c r="D6" s="132"/>
      <c r="E6" s="44"/>
      <c r="F6" s="44"/>
      <c r="G6" s="109"/>
      <c r="H6" s="44"/>
      <c r="I6" s="42"/>
      <c r="J6" s="133"/>
      <c r="K6" s="16"/>
    </row>
    <row r="7" spans="2:11" s="3" customFormat="1" ht="18" customHeight="1">
      <c r="B7" s="42"/>
      <c r="C7" s="42"/>
      <c r="D7" s="301" t="s">
        <v>47</v>
      </c>
      <c r="E7" s="302"/>
      <c r="F7" s="302"/>
      <c r="G7" s="302"/>
      <c r="H7" s="302"/>
      <c r="I7" s="302"/>
      <c r="J7" s="303"/>
      <c r="K7" s="16"/>
    </row>
    <row r="8" spans="2:11" s="3" customFormat="1" ht="18" customHeight="1">
      <c r="B8" s="42"/>
      <c r="C8" s="42"/>
      <c r="D8" s="87" t="s">
        <v>119</v>
      </c>
      <c r="E8" s="88"/>
      <c r="F8" s="88"/>
      <c r="G8" s="89" t="s">
        <v>84</v>
      </c>
      <c r="H8" s="90"/>
      <c r="I8" s="91"/>
      <c r="J8" s="92"/>
      <c r="K8" s="16"/>
    </row>
    <row r="9" spans="2:11" s="3" customFormat="1" ht="18" customHeight="1">
      <c r="B9" s="42"/>
      <c r="C9" s="42"/>
      <c r="D9" s="93" t="s">
        <v>67</v>
      </c>
      <c r="E9" s="94"/>
      <c r="F9" s="94"/>
      <c r="G9" s="95" t="s">
        <v>131</v>
      </c>
      <c r="H9" s="96"/>
      <c r="I9" s="97"/>
      <c r="J9" s="98"/>
      <c r="K9" s="16"/>
    </row>
    <row r="10" spans="2:11" s="3" customFormat="1" ht="18" customHeight="1">
      <c r="B10" s="42"/>
      <c r="C10" s="42"/>
      <c r="D10" s="93" t="s">
        <v>68</v>
      </c>
      <c r="E10" s="94"/>
      <c r="F10" s="94"/>
      <c r="G10" s="95" t="s">
        <v>44</v>
      </c>
      <c r="H10" s="96"/>
      <c r="I10" s="97"/>
      <c r="J10" s="98"/>
      <c r="K10" s="18"/>
    </row>
    <row r="11" spans="2:11" s="3" customFormat="1" ht="18" customHeight="1">
      <c r="B11" s="42"/>
      <c r="C11" s="42"/>
      <c r="D11" s="93" t="s">
        <v>132</v>
      </c>
      <c r="E11" s="94"/>
      <c r="F11" s="94"/>
      <c r="G11" s="94" t="s">
        <v>133</v>
      </c>
      <c r="H11" s="96"/>
      <c r="I11" s="97"/>
      <c r="J11" s="98"/>
      <c r="K11" s="18"/>
    </row>
    <row r="12" spans="2:11" s="3" customFormat="1" ht="18" customHeight="1">
      <c r="B12" s="42"/>
      <c r="C12" s="42"/>
      <c r="D12" s="195" t="s">
        <v>111</v>
      </c>
      <c r="E12" s="99"/>
      <c r="F12" s="99"/>
      <c r="G12" s="218"/>
      <c r="H12" s="100"/>
      <c r="I12" s="101"/>
      <c r="J12" s="102"/>
      <c r="K12" s="18"/>
    </row>
    <row r="13" spans="2:11" s="3" customFormat="1" ht="37.5" customHeight="1">
      <c r="B13" s="134"/>
      <c r="C13" s="41"/>
      <c r="D13" s="27"/>
      <c r="E13" s="135"/>
      <c r="F13" s="136"/>
      <c r="G13" s="137"/>
      <c r="H13" s="42"/>
      <c r="I13" s="138"/>
      <c r="J13" s="139"/>
      <c r="K13" s="19"/>
    </row>
    <row r="14" spans="2:11" ht="18">
      <c r="B14" s="294" t="s">
        <v>48</v>
      </c>
      <c r="C14" s="295"/>
      <c r="D14" s="295"/>
      <c r="E14" s="296"/>
      <c r="F14" s="41"/>
      <c r="G14" s="294" t="s">
        <v>13</v>
      </c>
      <c r="H14" s="295"/>
      <c r="I14" s="295"/>
      <c r="J14" s="296"/>
      <c r="K14" s="16"/>
    </row>
    <row r="15" spans="2:11" ht="18" customHeight="1">
      <c r="B15" s="111" t="s">
        <v>72</v>
      </c>
      <c r="C15" s="112"/>
      <c r="D15" s="88"/>
      <c r="E15" s="113">
        <v>95000</v>
      </c>
      <c r="F15" s="42"/>
      <c r="G15" s="120" t="s">
        <v>6</v>
      </c>
      <c r="H15" s="88"/>
      <c r="I15" s="88"/>
      <c r="J15" s="121">
        <f>E15*E16</f>
        <v>4180000</v>
      </c>
      <c r="K15" s="16"/>
    </row>
    <row r="16" spans="2:11" ht="18" customHeight="1">
      <c r="B16" s="297" t="s">
        <v>113</v>
      </c>
      <c r="C16" s="298"/>
      <c r="D16" s="298"/>
      <c r="E16" s="209">
        <v>44</v>
      </c>
      <c r="F16" s="42"/>
      <c r="G16" s="122" t="s">
        <v>9</v>
      </c>
      <c r="H16" s="42"/>
      <c r="I16" s="42"/>
      <c r="J16" s="123">
        <f>J30+J44+J77+J81</f>
        <v>3110573.025</v>
      </c>
      <c r="K16" s="16"/>
    </row>
    <row r="17" spans="2:11" ht="18" customHeight="1">
      <c r="B17" s="115" t="s">
        <v>8</v>
      </c>
      <c r="C17" s="43"/>
      <c r="D17" s="42"/>
      <c r="E17" s="114">
        <v>13000</v>
      </c>
      <c r="F17" s="42"/>
      <c r="G17" s="122" t="s">
        <v>10</v>
      </c>
      <c r="H17" s="44"/>
      <c r="I17" s="42"/>
      <c r="J17" s="123">
        <f>J30+J44+J77+J89+J81</f>
        <v>3221664.9187499997</v>
      </c>
      <c r="K17" s="16"/>
    </row>
    <row r="18" spans="2:11" ht="18" customHeight="1">
      <c r="B18" s="115" t="s">
        <v>3</v>
      </c>
      <c r="C18" s="45"/>
      <c r="D18" s="42"/>
      <c r="E18" s="116">
        <v>0.015</v>
      </c>
      <c r="F18" s="42"/>
      <c r="G18" s="122" t="s">
        <v>11</v>
      </c>
      <c r="H18" s="42"/>
      <c r="I18" s="42"/>
      <c r="J18" s="123">
        <f>J15-J16</f>
        <v>1069426.975</v>
      </c>
      <c r="K18" s="16"/>
    </row>
    <row r="19" spans="2:11" ht="18" customHeight="1">
      <c r="B19" s="117" t="s">
        <v>4</v>
      </c>
      <c r="C19" s="118"/>
      <c r="D19" s="103"/>
      <c r="E19" s="119">
        <v>5</v>
      </c>
      <c r="F19" s="42"/>
      <c r="G19" s="122" t="s">
        <v>12</v>
      </c>
      <c r="H19" s="42"/>
      <c r="I19" s="42"/>
      <c r="J19" s="123">
        <f>J15-J17</f>
        <v>958335.0812500003</v>
      </c>
      <c r="K19" s="16" t="s">
        <v>77</v>
      </c>
    </row>
    <row r="20" spans="6:12" ht="18" customHeight="1">
      <c r="F20" s="42"/>
      <c r="G20" s="176" t="s">
        <v>73</v>
      </c>
      <c r="H20" s="103"/>
      <c r="I20" s="124"/>
      <c r="J20" s="125">
        <f>G107</f>
        <v>33.912262302631575</v>
      </c>
      <c r="K20" s="16"/>
      <c r="L20" s="3" t="s">
        <v>81</v>
      </c>
    </row>
    <row r="21" spans="2:11" s="3" customFormat="1" ht="18" customHeight="1">
      <c r="B21" s="42"/>
      <c r="C21" s="42"/>
      <c r="D21" s="42"/>
      <c r="E21" s="21"/>
      <c r="F21" s="21"/>
      <c r="G21" s="22"/>
      <c r="H21" s="23"/>
      <c r="I21" s="24"/>
      <c r="J21" s="24"/>
      <c r="K21" s="16"/>
    </row>
    <row r="22" spans="2:11" s="3" customFormat="1" ht="18" customHeight="1">
      <c r="B22" s="141" t="s">
        <v>45</v>
      </c>
      <c r="C22" s="140"/>
      <c r="D22" s="140"/>
      <c r="E22" s="306" t="s">
        <v>14</v>
      </c>
      <c r="F22" s="306"/>
      <c r="G22" s="142" t="s">
        <v>15</v>
      </c>
      <c r="H22" s="143" t="s">
        <v>16</v>
      </c>
      <c r="I22" s="144" t="s">
        <v>59</v>
      </c>
      <c r="J22" s="145" t="s">
        <v>2</v>
      </c>
      <c r="K22" s="16"/>
    </row>
    <row r="23" spans="2:11" s="3" customFormat="1" ht="18" customHeight="1">
      <c r="B23" s="299" t="s">
        <v>18</v>
      </c>
      <c r="C23" s="300"/>
      <c r="D23" s="300"/>
      <c r="E23" s="230"/>
      <c r="F23" s="230"/>
      <c r="G23" s="126"/>
      <c r="H23" s="127"/>
      <c r="I23" s="128"/>
      <c r="J23" s="171"/>
      <c r="K23" s="16"/>
    </row>
    <row r="24" spans="2:11" s="3" customFormat="1" ht="18" customHeight="1">
      <c r="B24" s="210" t="s">
        <v>29</v>
      </c>
      <c r="C24" s="150"/>
      <c r="D24" s="151"/>
      <c r="E24" s="304" t="s">
        <v>104</v>
      </c>
      <c r="F24" s="305"/>
      <c r="G24" s="183">
        <v>8</v>
      </c>
      <c r="H24" s="152" t="s">
        <v>5</v>
      </c>
      <c r="I24" s="170">
        <f aca="true" t="shared" si="0" ref="I24:I29">$E$17</f>
        <v>13000</v>
      </c>
      <c r="J24" s="153">
        <f aca="true" t="shared" si="1" ref="J24:J29">G24*I24</f>
        <v>104000</v>
      </c>
      <c r="K24" s="16"/>
    </row>
    <row r="25" spans="2:11" s="3" customFormat="1" ht="18" customHeight="1">
      <c r="B25" s="204" t="s">
        <v>54</v>
      </c>
      <c r="C25" s="203"/>
      <c r="D25" s="205"/>
      <c r="E25" s="225" t="s">
        <v>62</v>
      </c>
      <c r="F25" s="226"/>
      <c r="G25" s="184">
        <v>2</v>
      </c>
      <c r="H25" s="154" t="s">
        <v>5</v>
      </c>
      <c r="I25" s="170">
        <f t="shared" si="0"/>
        <v>13000</v>
      </c>
      <c r="J25" s="155">
        <f t="shared" si="1"/>
        <v>26000</v>
      </c>
      <c r="K25" s="16"/>
    </row>
    <row r="26" spans="2:11" s="3" customFormat="1" ht="18" customHeight="1">
      <c r="B26" s="204" t="s">
        <v>85</v>
      </c>
      <c r="C26" s="203"/>
      <c r="D26" s="205"/>
      <c r="E26" s="225" t="s">
        <v>89</v>
      </c>
      <c r="F26" s="226"/>
      <c r="G26" s="184">
        <v>2</v>
      </c>
      <c r="H26" s="154" t="s">
        <v>5</v>
      </c>
      <c r="I26" s="170">
        <f t="shared" si="0"/>
        <v>13000</v>
      </c>
      <c r="J26" s="155">
        <f t="shared" si="1"/>
        <v>26000</v>
      </c>
      <c r="K26" s="16"/>
    </row>
    <row r="27" spans="2:11" s="3" customFormat="1" ht="18" customHeight="1">
      <c r="B27" s="204" t="s">
        <v>70</v>
      </c>
      <c r="C27" s="203"/>
      <c r="D27" s="205"/>
      <c r="E27" s="225" t="s">
        <v>89</v>
      </c>
      <c r="F27" s="226"/>
      <c r="G27" s="184">
        <v>2</v>
      </c>
      <c r="H27" s="154" t="s">
        <v>5</v>
      </c>
      <c r="I27" s="170">
        <f t="shared" si="0"/>
        <v>13000</v>
      </c>
      <c r="J27" s="155">
        <f>G27*I27</f>
        <v>26000</v>
      </c>
      <c r="K27" s="16"/>
    </row>
    <row r="28" spans="2:18" s="3" customFormat="1" ht="18" customHeight="1">
      <c r="B28" s="204" t="s">
        <v>51</v>
      </c>
      <c r="C28" s="203"/>
      <c r="D28" s="205"/>
      <c r="E28" s="225" t="s">
        <v>60</v>
      </c>
      <c r="F28" s="226"/>
      <c r="G28" s="184">
        <v>2</v>
      </c>
      <c r="H28" s="154" t="s">
        <v>5</v>
      </c>
      <c r="I28" s="170">
        <f t="shared" si="0"/>
        <v>13000</v>
      </c>
      <c r="J28" s="155">
        <f t="shared" si="1"/>
        <v>26000</v>
      </c>
      <c r="K28" s="16"/>
      <c r="R28" s="27"/>
    </row>
    <row r="29" spans="2:11" s="3" customFormat="1" ht="18" customHeight="1">
      <c r="B29" s="206" t="s">
        <v>112</v>
      </c>
      <c r="C29" s="207"/>
      <c r="D29" s="208"/>
      <c r="E29" s="232" t="s">
        <v>105</v>
      </c>
      <c r="F29" s="233"/>
      <c r="G29" s="185">
        <v>5</v>
      </c>
      <c r="H29" s="156" t="s">
        <v>5</v>
      </c>
      <c r="I29" s="170">
        <f t="shared" si="0"/>
        <v>13000</v>
      </c>
      <c r="J29" s="157">
        <f t="shared" si="1"/>
        <v>65000</v>
      </c>
      <c r="K29" s="16"/>
    </row>
    <row r="30" spans="2:11" ht="18" customHeight="1">
      <c r="B30" s="282" t="s">
        <v>19</v>
      </c>
      <c r="C30" s="283"/>
      <c r="D30" s="283"/>
      <c r="E30" s="283"/>
      <c r="F30" s="283"/>
      <c r="G30" s="283"/>
      <c r="H30" s="283"/>
      <c r="I30" s="283"/>
      <c r="J30" s="146">
        <f>SUM(J24:J29)</f>
        <v>273000</v>
      </c>
      <c r="K30" s="16"/>
    </row>
    <row r="31" spans="2:11" s="3" customFormat="1" ht="18" customHeight="1">
      <c r="B31" s="85"/>
      <c r="C31" s="85"/>
      <c r="D31" s="85"/>
      <c r="E31" s="85"/>
      <c r="F31" s="85"/>
      <c r="G31" s="26"/>
      <c r="H31" s="85"/>
      <c r="I31" s="85"/>
      <c r="J31" s="28"/>
      <c r="K31" s="16"/>
    </row>
    <row r="32" spans="2:11" s="29" customFormat="1" ht="18" customHeight="1">
      <c r="B32" s="299" t="s">
        <v>20</v>
      </c>
      <c r="C32" s="300"/>
      <c r="D32" s="300"/>
      <c r="E32" s="230"/>
      <c r="F32" s="230"/>
      <c r="G32" s="126"/>
      <c r="H32" s="127"/>
      <c r="I32" s="128"/>
      <c r="J32" s="171"/>
      <c r="K32" s="16"/>
    </row>
    <row r="33" spans="2:11" s="3" customFormat="1" ht="18" customHeight="1">
      <c r="B33" s="307" t="s">
        <v>58</v>
      </c>
      <c r="C33" s="308"/>
      <c r="D33" s="309"/>
      <c r="E33" s="304" t="s">
        <v>63</v>
      </c>
      <c r="F33" s="305"/>
      <c r="G33" s="183">
        <v>1</v>
      </c>
      <c r="H33" s="152" t="s">
        <v>43</v>
      </c>
      <c r="I33" s="172">
        <v>70000</v>
      </c>
      <c r="J33" s="153">
        <f aca="true" t="shared" si="2" ref="J33:J43">G33*I33</f>
        <v>70000</v>
      </c>
      <c r="K33" s="16"/>
    </row>
    <row r="34" spans="2:11" s="3" customFormat="1" ht="18" customHeight="1">
      <c r="B34" s="273" t="s">
        <v>52</v>
      </c>
      <c r="C34" s="272"/>
      <c r="D34" s="274"/>
      <c r="E34" s="225" t="s">
        <v>63</v>
      </c>
      <c r="F34" s="226"/>
      <c r="G34" s="184">
        <v>2.5</v>
      </c>
      <c r="H34" s="154" t="s">
        <v>43</v>
      </c>
      <c r="I34" s="173">
        <v>35000</v>
      </c>
      <c r="J34" s="155">
        <f t="shared" si="2"/>
        <v>87500</v>
      </c>
      <c r="K34" s="16"/>
    </row>
    <row r="35" spans="2:11" s="3" customFormat="1" ht="18" customHeight="1">
      <c r="B35" s="204" t="s">
        <v>90</v>
      </c>
      <c r="C35" s="203"/>
      <c r="D35" s="205"/>
      <c r="E35" s="225" t="s">
        <v>106</v>
      </c>
      <c r="F35" s="226"/>
      <c r="G35" s="184">
        <v>1</v>
      </c>
      <c r="H35" s="154" t="s">
        <v>43</v>
      </c>
      <c r="I35" s="173">
        <v>25000</v>
      </c>
      <c r="J35" s="155">
        <f t="shared" si="2"/>
        <v>25000</v>
      </c>
      <c r="K35" s="16"/>
    </row>
    <row r="36" spans="2:11" s="3" customFormat="1" ht="18" customHeight="1">
      <c r="B36" s="204" t="s">
        <v>134</v>
      </c>
      <c r="C36" s="203"/>
      <c r="D36" s="205"/>
      <c r="E36" s="225" t="s">
        <v>89</v>
      </c>
      <c r="F36" s="226"/>
      <c r="G36" s="184">
        <v>1</v>
      </c>
      <c r="H36" s="154" t="s">
        <v>43</v>
      </c>
      <c r="I36" s="173">
        <v>35000</v>
      </c>
      <c r="J36" s="155">
        <f t="shared" si="2"/>
        <v>35000</v>
      </c>
      <c r="K36" s="16"/>
    </row>
    <row r="37" spans="2:11" s="3" customFormat="1" ht="18" customHeight="1">
      <c r="B37" s="204" t="s">
        <v>91</v>
      </c>
      <c r="C37" s="203"/>
      <c r="D37" s="205"/>
      <c r="E37" s="225" t="s">
        <v>89</v>
      </c>
      <c r="F37" s="226"/>
      <c r="G37" s="184">
        <v>1</v>
      </c>
      <c r="H37" s="154" t="s">
        <v>43</v>
      </c>
      <c r="I37" s="173">
        <v>70000</v>
      </c>
      <c r="J37" s="155">
        <f t="shared" si="2"/>
        <v>70000</v>
      </c>
      <c r="K37" s="16"/>
    </row>
    <row r="38" spans="2:11" s="3" customFormat="1" ht="18" customHeight="1">
      <c r="B38" s="273" t="s">
        <v>53</v>
      </c>
      <c r="C38" s="272"/>
      <c r="D38" s="274"/>
      <c r="E38" s="225" t="s">
        <v>64</v>
      </c>
      <c r="F38" s="226"/>
      <c r="G38" s="184">
        <v>2</v>
      </c>
      <c r="H38" s="154" t="s">
        <v>43</v>
      </c>
      <c r="I38" s="173">
        <v>5000</v>
      </c>
      <c r="J38" s="155">
        <f t="shared" si="2"/>
        <v>10000</v>
      </c>
      <c r="K38" s="16"/>
    </row>
    <row r="39" spans="2:11" s="3" customFormat="1" ht="18" customHeight="1">
      <c r="B39" s="204" t="s">
        <v>86</v>
      </c>
      <c r="C39" s="203"/>
      <c r="D39" s="205"/>
      <c r="E39" s="225" t="s">
        <v>62</v>
      </c>
      <c r="F39" s="226"/>
      <c r="G39" s="184">
        <v>8</v>
      </c>
      <c r="H39" s="154" t="s">
        <v>43</v>
      </c>
      <c r="I39" s="173">
        <v>25000</v>
      </c>
      <c r="J39" s="155">
        <f t="shared" si="2"/>
        <v>200000</v>
      </c>
      <c r="K39" s="16"/>
    </row>
    <row r="40" spans="2:11" s="3" customFormat="1" ht="18" customHeight="1">
      <c r="B40" s="273" t="s">
        <v>65</v>
      </c>
      <c r="C40" s="272"/>
      <c r="D40" s="274"/>
      <c r="E40" s="225" t="s">
        <v>61</v>
      </c>
      <c r="F40" s="226"/>
      <c r="G40" s="184">
        <v>1</v>
      </c>
      <c r="H40" s="154" t="s">
        <v>43</v>
      </c>
      <c r="I40" s="173">
        <v>25000</v>
      </c>
      <c r="J40" s="155">
        <f t="shared" si="2"/>
        <v>25000</v>
      </c>
      <c r="K40" s="16"/>
    </row>
    <row r="41" spans="2:11" s="3" customFormat="1" ht="18" customHeight="1">
      <c r="B41" s="273" t="s">
        <v>54</v>
      </c>
      <c r="C41" s="272"/>
      <c r="D41" s="274"/>
      <c r="E41" s="225" t="s">
        <v>62</v>
      </c>
      <c r="F41" s="226"/>
      <c r="G41" s="184">
        <v>1</v>
      </c>
      <c r="H41" s="154" t="s">
        <v>43</v>
      </c>
      <c r="I41" s="173">
        <v>60000</v>
      </c>
      <c r="J41" s="155">
        <f t="shared" si="2"/>
        <v>60000</v>
      </c>
      <c r="K41" s="16"/>
    </row>
    <row r="42" spans="2:11" s="3" customFormat="1" ht="18" customHeight="1">
      <c r="B42" s="273" t="s">
        <v>87</v>
      </c>
      <c r="C42" s="272"/>
      <c r="D42" s="274"/>
      <c r="E42" s="225" t="s">
        <v>105</v>
      </c>
      <c r="F42" s="226"/>
      <c r="G42" s="184">
        <f>Hoja1!D5*Hoja1!$C$2</f>
        <v>95000</v>
      </c>
      <c r="H42" s="154" t="s">
        <v>42</v>
      </c>
      <c r="I42" s="173">
        <v>6</v>
      </c>
      <c r="J42" s="155">
        <f t="shared" si="2"/>
        <v>570000</v>
      </c>
      <c r="K42" s="16"/>
    </row>
    <row r="43" spans="2:11" s="3" customFormat="1" ht="18" customHeight="1">
      <c r="B43" s="289" t="s">
        <v>88</v>
      </c>
      <c r="C43" s="290"/>
      <c r="D43" s="290"/>
      <c r="E43" s="232" t="s">
        <v>105</v>
      </c>
      <c r="F43" s="233"/>
      <c r="G43" s="185">
        <f>Hoja1!D6*Hoja1!$C$2</f>
        <v>95000</v>
      </c>
      <c r="H43" s="156" t="s">
        <v>42</v>
      </c>
      <c r="I43" s="174">
        <v>4</v>
      </c>
      <c r="J43" s="157">
        <f t="shared" si="2"/>
        <v>380000</v>
      </c>
      <c r="K43" s="16"/>
    </row>
    <row r="44" spans="2:12" ht="18" customHeight="1">
      <c r="B44" s="282" t="s">
        <v>21</v>
      </c>
      <c r="C44" s="283"/>
      <c r="D44" s="283"/>
      <c r="E44" s="283"/>
      <c r="F44" s="283"/>
      <c r="G44" s="283"/>
      <c r="H44" s="283"/>
      <c r="I44" s="283"/>
      <c r="J44" s="146">
        <f>SUM(J33:J43)</f>
        <v>1532500</v>
      </c>
      <c r="K44" s="16"/>
      <c r="L44" s="16"/>
    </row>
    <row r="45" spans="2:12" s="3" customFormat="1" ht="18" customHeight="1">
      <c r="B45" s="85"/>
      <c r="C45" s="85"/>
      <c r="D45" s="85"/>
      <c r="E45" s="85"/>
      <c r="F45" s="85"/>
      <c r="G45" s="26"/>
      <c r="H45" s="85"/>
      <c r="I45" s="85"/>
      <c r="J45" s="28"/>
      <c r="K45" s="16"/>
      <c r="L45" s="20"/>
    </row>
    <row r="46" spans="2:12" s="3" customFormat="1" ht="18" customHeight="1">
      <c r="B46" s="299" t="s">
        <v>114</v>
      </c>
      <c r="C46" s="300"/>
      <c r="D46" s="300"/>
      <c r="E46" s="230"/>
      <c r="F46" s="230"/>
      <c r="G46" s="126"/>
      <c r="H46" s="127"/>
      <c r="I46" s="128"/>
      <c r="J46" s="129"/>
      <c r="K46" s="16"/>
      <c r="L46" s="25"/>
    </row>
    <row r="47" spans="2:12" s="3" customFormat="1" ht="18" customHeight="1">
      <c r="B47" s="215" t="s">
        <v>115</v>
      </c>
      <c r="C47" s="216"/>
      <c r="D47" s="217"/>
      <c r="E47" s="225" t="s">
        <v>89</v>
      </c>
      <c r="F47" s="226"/>
      <c r="G47" s="178">
        <v>30000</v>
      </c>
      <c r="H47" s="179" t="s">
        <v>82</v>
      </c>
      <c r="I47" s="11">
        <v>13</v>
      </c>
      <c r="J47" s="11">
        <f>G47*I47</f>
        <v>390000</v>
      </c>
      <c r="K47" s="16"/>
      <c r="L47" s="25"/>
    </row>
    <row r="48" spans="2:12" s="3" customFormat="1" ht="18" customHeight="1">
      <c r="B48" s="215"/>
      <c r="C48" s="216"/>
      <c r="D48" s="217"/>
      <c r="E48" s="202"/>
      <c r="F48" s="201"/>
      <c r="G48" s="178"/>
      <c r="H48" s="179"/>
      <c r="I48" s="11"/>
      <c r="J48" s="11"/>
      <c r="K48" s="16"/>
      <c r="L48" s="25"/>
    </row>
    <row r="49" spans="2:12" s="3" customFormat="1" ht="18" customHeight="1">
      <c r="B49" s="212" t="s">
        <v>40</v>
      </c>
      <c r="C49" s="213"/>
      <c r="D49" s="214"/>
      <c r="E49" s="234"/>
      <c r="F49" s="226"/>
      <c r="G49" s="186"/>
      <c r="H49" s="180"/>
      <c r="I49" s="169"/>
      <c r="J49" s="11"/>
      <c r="K49" s="16"/>
      <c r="L49" s="25"/>
    </row>
    <row r="50" spans="2:12" s="3" customFormat="1" ht="18" customHeight="1">
      <c r="B50" s="215" t="s">
        <v>92</v>
      </c>
      <c r="C50" s="216"/>
      <c r="D50" s="217"/>
      <c r="E50" s="234" t="s">
        <v>63</v>
      </c>
      <c r="F50" s="226"/>
      <c r="G50" s="186">
        <v>550</v>
      </c>
      <c r="H50" s="180" t="s">
        <v>42</v>
      </c>
      <c r="I50" s="169">
        <v>320</v>
      </c>
      <c r="J50" s="11">
        <f>G50*I50</f>
        <v>176000</v>
      </c>
      <c r="K50" s="16"/>
      <c r="L50" s="25"/>
    </row>
    <row r="51" spans="2:12" s="3" customFormat="1" ht="18" customHeight="1">
      <c r="B51" s="215" t="s">
        <v>93</v>
      </c>
      <c r="C51" s="216"/>
      <c r="D51" s="217"/>
      <c r="E51" s="234" t="s">
        <v>107</v>
      </c>
      <c r="F51" s="226"/>
      <c r="G51" s="186">
        <v>500</v>
      </c>
      <c r="H51" s="180" t="s">
        <v>42</v>
      </c>
      <c r="I51" s="169">
        <v>280</v>
      </c>
      <c r="J51" s="11">
        <f>G51*I51</f>
        <v>140000</v>
      </c>
      <c r="K51" s="16"/>
      <c r="L51" s="25"/>
    </row>
    <row r="52" spans="2:12" s="3" customFormat="1" ht="18" customHeight="1">
      <c r="B52" s="215"/>
      <c r="C52" s="216"/>
      <c r="D52" s="217"/>
      <c r="E52" s="234"/>
      <c r="F52" s="226"/>
      <c r="G52" s="186"/>
      <c r="H52" s="180"/>
      <c r="I52" s="169"/>
      <c r="J52" s="11"/>
      <c r="K52" s="16"/>
      <c r="L52" s="25"/>
    </row>
    <row r="53" spans="2:12" s="3" customFormat="1" ht="18" customHeight="1">
      <c r="B53" s="215" t="s">
        <v>126</v>
      </c>
      <c r="C53" s="216"/>
      <c r="D53" s="217"/>
      <c r="E53" s="199"/>
      <c r="F53" s="200"/>
      <c r="G53" s="186"/>
      <c r="H53" s="180"/>
      <c r="I53" s="169"/>
      <c r="J53" s="11"/>
      <c r="K53" s="16"/>
      <c r="L53" s="25"/>
    </row>
    <row r="54" spans="2:12" s="3" customFormat="1" ht="18" customHeight="1">
      <c r="B54" s="215" t="s">
        <v>128</v>
      </c>
      <c r="C54" s="216"/>
      <c r="D54" s="217"/>
      <c r="E54" s="225" t="s">
        <v>108</v>
      </c>
      <c r="F54" s="226"/>
      <c r="G54" s="186">
        <v>2</v>
      </c>
      <c r="H54" s="180" t="s">
        <v>39</v>
      </c>
      <c r="I54" s="169">
        <v>32443</v>
      </c>
      <c r="J54" s="11">
        <f>G54*I54</f>
        <v>64886</v>
      </c>
      <c r="K54" s="16"/>
      <c r="L54" s="25"/>
    </row>
    <row r="55" spans="2:12" s="3" customFormat="1" ht="18" customHeight="1">
      <c r="B55" s="215" t="s">
        <v>96</v>
      </c>
      <c r="C55" s="216"/>
      <c r="D55" s="217"/>
      <c r="E55" s="234" t="s">
        <v>108</v>
      </c>
      <c r="F55" s="226"/>
      <c r="G55" s="186">
        <v>7</v>
      </c>
      <c r="H55" s="180" t="s">
        <v>39</v>
      </c>
      <c r="I55" s="169">
        <v>9300</v>
      </c>
      <c r="J55" s="11">
        <f>G55*I55</f>
        <v>65100</v>
      </c>
      <c r="K55" s="16"/>
      <c r="L55" s="25"/>
    </row>
    <row r="56" spans="2:12" s="3" customFormat="1" ht="18" customHeight="1">
      <c r="B56" s="215"/>
      <c r="C56" s="216"/>
      <c r="D56" s="217"/>
      <c r="E56" s="177"/>
      <c r="F56" s="175"/>
      <c r="G56" s="178"/>
      <c r="H56" s="179"/>
      <c r="I56" s="11"/>
      <c r="J56" s="11"/>
      <c r="K56" s="16"/>
      <c r="L56" s="25"/>
    </row>
    <row r="57" spans="2:12" s="3" customFormat="1" ht="18" customHeight="1">
      <c r="B57" s="212" t="s">
        <v>41</v>
      </c>
      <c r="C57" s="213"/>
      <c r="D57" s="214"/>
      <c r="E57" s="167"/>
      <c r="F57" s="168"/>
      <c r="G57" s="178"/>
      <c r="H57" s="179"/>
      <c r="I57" s="11"/>
      <c r="J57" s="11"/>
      <c r="K57" s="16"/>
      <c r="L57" s="25"/>
    </row>
    <row r="58" spans="2:12" s="3" customFormat="1" ht="18" customHeight="1">
      <c r="B58" s="215" t="s">
        <v>130</v>
      </c>
      <c r="C58" s="216"/>
      <c r="D58" s="168"/>
      <c r="E58" s="225" t="s">
        <v>110</v>
      </c>
      <c r="F58" s="226"/>
      <c r="G58" s="178">
        <v>0.25</v>
      </c>
      <c r="H58" s="179" t="s">
        <v>39</v>
      </c>
      <c r="I58" s="11">
        <v>45000</v>
      </c>
      <c r="J58" s="11">
        <f>G58*I58</f>
        <v>11250</v>
      </c>
      <c r="K58" s="16"/>
      <c r="L58" s="25"/>
    </row>
    <row r="59" spans="2:12" s="3" customFormat="1" ht="18" customHeight="1">
      <c r="B59" s="215" t="s">
        <v>122</v>
      </c>
      <c r="C59" s="216"/>
      <c r="D59" s="168"/>
      <c r="E59" s="225" t="s">
        <v>62</v>
      </c>
      <c r="F59" s="226"/>
      <c r="G59" s="178">
        <v>0.5</v>
      </c>
      <c r="H59" s="179" t="s">
        <v>39</v>
      </c>
      <c r="I59" s="11">
        <v>27473</v>
      </c>
      <c r="J59" s="11">
        <f>G59*I59</f>
        <v>13736.5</v>
      </c>
      <c r="K59" s="16"/>
      <c r="L59" s="25"/>
    </row>
    <row r="60" spans="2:12" s="3" customFormat="1" ht="18" customHeight="1">
      <c r="B60" s="215" t="s">
        <v>129</v>
      </c>
      <c r="C60" s="216"/>
      <c r="D60" s="168"/>
      <c r="E60" s="225" t="s">
        <v>62</v>
      </c>
      <c r="F60" s="226"/>
      <c r="G60" s="178">
        <v>2</v>
      </c>
      <c r="H60" s="179" t="s">
        <v>42</v>
      </c>
      <c r="I60" s="11">
        <v>23089</v>
      </c>
      <c r="J60" s="11">
        <f>G60*I60</f>
        <v>46178</v>
      </c>
      <c r="K60" s="16"/>
      <c r="L60" s="25"/>
    </row>
    <row r="61" spans="2:12" s="3" customFormat="1" ht="18" customHeight="1">
      <c r="B61" s="215"/>
      <c r="C61" s="216"/>
      <c r="D61" s="217"/>
      <c r="E61" s="234"/>
      <c r="F61" s="226"/>
      <c r="G61" s="178"/>
      <c r="H61" s="179"/>
      <c r="I61" s="11"/>
      <c r="J61" s="11"/>
      <c r="K61" s="16"/>
      <c r="L61" s="25"/>
    </row>
    <row r="62" spans="2:12" s="3" customFormat="1" ht="18" customHeight="1">
      <c r="B62" s="212" t="s">
        <v>123</v>
      </c>
      <c r="C62" s="216"/>
      <c r="D62" s="217"/>
      <c r="E62" s="225"/>
      <c r="F62" s="226"/>
      <c r="G62" s="178"/>
      <c r="H62" s="179"/>
      <c r="I62" s="11"/>
      <c r="J62" s="11"/>
      <c r="K62" s="16"/>
      <c r="L62" s="25"/>
    </row>
    <row r="63" spans="2:12" s="3" customFormat="1" ht="18" customHeight="1">
      <c r="B63" s="215" t="s">
        <v>97</v>
      </c>
      <c r="C63" s="216"/>
      <c r="D63" s="217"/>
      <c r="E63" s="234" t="s">
        <v>89</v>
      </c>
      <c r="F63" s="226"/>
      <c r="G63" s="178">
        <v>2</v>
      </c>
      <c r="H63" s="179" t="s">
        <v>39</v>
      </c>
      <c r="I63" s="11">
        <v>35000</v>
      </c>
      <c r="J63" s="11">
        <f>G63*I63</f>
        <v>70000</v>
      </c>
      <c r="K63" s="16"/>
      <c r="L63" s="25"/>
    </row>
    <row r="64" spans="2:12" s="3" customFormat="1" ht="18" customHeight="1">
      <c r="B64" s="215" t="s">
        <v>98</v>
      </c>
      <c r="C64" s="213"/>
      <c r="D64" s="214"/>
      <c r="E64" s="234" t="s">
        <v>89</v>
      </c>
      <c r="F64" s="226"/>
      <c r="G64" s="178">
        <v>3</v>
      </c>
      <c r="H64" s="179" t="s">
        <v>39</v>
      </c>
      <c r="I64" s="11">
        <v>14500</v>
      </c>
      <c r="J64" s="11">
        <f>G64*I64</f>
        <v>43500</v>
      </c>
      <c r="K64" s="16"/>
      <c r="L64" s="25"/>
    </row>
    <row r="65" spans="2:12" s="3" customFormat="1" ht="18" customHeight="1">
      <c r="B65" s="215" t="s">
        <v>99</v>
      </c>
      <c r="C65" s="216"/>
      <c r="D65" s="217"/>
      <c r="E65" s="225" t="s">
        <v>107</v>
      </c>
      <c r="F65" s="226"/>
      <c r="G65" s="178">
        <v>0.2</v>
      </c>
      <c r="H65" s="179" t="s">
        <v>42</v>
      </c>
      <c r="I65" s="11">
        <v>367500</v>
      </c>
      <c r="J65" s="11">
        <f>G65*I65</f>
        <v>73500</v>
      </c>
      <c r="K65" s="16"/>
      <c r="L65" s="25"/>
    </row>
    <row r="66" spans="2:12" s="3" customFormat="1" ht="18">
      <c r="B66" s="215"/>
      <c r="C66" s="216"/>
      <c r="D66" s="217"/>
      <c r="E66" s="197"/>
      <c r="F66" s="196"/>
      <c r="G66" s="178"/>
      <c r="H66" s="179"/>
      <c r="I66" s="11"/>
      <c r="J66" s="11"/>
      <c r="K66" s="16"/>
      <c r="L66" s="25"/>
    </row>
    <row r="67" spans="2:12" s="3" customFormat="1" ht="18">
      <c r="B67" s="212" t="s">
        <v>124</v>
      </c>
      <c r="C67" s="216"/>
      <c r="D67" s="217"/>
      <c r="E67" s="197"/>
      <c r="F67" s="196"/>
      <c r="G67" s="178"/>
      <c r="H67" s="179"/>
      <c r="I67" s="11"/>
      <c r="J67" s="11"/>
      <c r="K67" s="16"/>
      <c r="L67" s="25"/>
    </row>
    <row r="68" spans="2:12" s="3" customFormat="1" ht="18">
      <c r="B68" s="215" t="s">
        <v>95</v>
      </c>
      <c r="C68" s="216"/>
      <c r="D68" s="217"/>
      <c r="E68" s="225" t="s">
        <v>64</v>
      </c>
      <c r="F68" s="226"/>
      <c r="G68" s="178">
        <v>1</v>
      </c>
      <c r="H68" s="179" t="s">
        <v>39</v>
      </c>
      <c r="I68" s="11">
        <v>7000</v>
      </c>
      <c r="J68" s="11">
        <f>G68*I68</f>
        <v>7000</v>
      </c>
      <c r="K68" s="16"/>
      <c r="L68" s="25"/>
    </row>
    <row r="69" spans="2:12" s="3" customFormat="1" ht="18">
      <c r="B69" s="212"/>
      <c r="C69" s="216"/>
      <c r="D69" s="217"/>
      <c r="E69" s="197"/>
      <c r="F69" s="196"/>
      <c r="G69" s="178"/>
      <c r="H69" s="179"/>
      <c r="I69" s="11"/>
      <c r="J69" s="11"/>
      <c r="K69" s="16"/>
      <c r="L69" s="25"/>
    </row>
    <row r="70" spans="2:12" s="3" customFormat="1" ht="18">
      <c r="B70" s="212" t="s">
        <v>125</v>
      </c>
      <c r="C70" s="216"/>
      <c r="D70" s="217"/>
      <c r="E70" s="197"/>
      <c r="F70" s="196"/>
      <c r="G70" s="178"/>
      <c r="H70" s="179"/>
      <c r="I70" s="11"/>
      <c r="J70" s="11"/>
      <c r="K70" s="16"/>
      <c r="L70" s="25"/>
    </row>
    <row r="71" spans="2:12" s="3" customFormat="1" ht="18">
      <c r="B71" s="215" t="s">
        <v>94</v>
      </c>
      <c r="C71" s="216"/>
      <c r="D71" s="217"/>
      <c r="E71" s="225" t="s">
        <v>60</v>
      </c>
      <c r="F71" s="226"/>
      <c r="G71" s="178">
        <v>0.5</v>
      </c>
      <c r="H71" s="179" t="s">
        <v>42</v>
      </c>
      <c r="I71" s="11">
        <v>34000</v>
      </c>
      <c r="J71" s="11">
        <f>G71*I71</f>
        <v>17000</v>
      </c>
      <c r="K71" s="16"/>
      <c r="L71" s="25"/>
    </row>
    <row r="72" spans="2:12" s="3" customFormat="1" ht="18">
      <c r="B72" s="215"/>
      <c r="C72" s="216"/>
      <c r="D72" s="217"/>
      <c r="E72" s="181"/>
      <c r="F72" s="182"/>
      <c r="G72" s="178"/>
      <c r="H72" s="179"/>
      <c r="I72" s="11"/>
      <c r="J72" s="11"/>
      <c r="K72" s="16"/>
      <c r="L72" s="25"/>
    </row>
    <row r="73" spans="2:12" s="3" customFormat="1" ht="18">
      <c r="B73" s="212" t="s">
        <v>100</v>
      </c>
      <c r="C73" s="216"/>
      <c r="D73" s="217"/>
      <c r="E73" s="177"/>
      <c r="F73" s="175"/>
      <c r="G73" s="178"/>
      <c r="H73" s="179"/>
      <c r="I73" s="11"/>
      <c r="J73" s="11"/>
      <c r="K73" s="16"/>
      <c r="L73" s="25"/>
    </row>
    <row r="74" spans="2:12" s="3" customFormat="1" ht="18">
      <c r="B74" s="215" t="s">
        <v>101</v>
      </c>
      <c r="C74" s="216"/>
      <c r="D74" s="217"/>
      <c r="E74" s="225" t="s">
        <v>89</v>
      </c>
      <c r="F74" s="226"/>
      <c r="G74" s="178">
        <v>5</v>
      </c>
      <c r="H74" s="179" t="s">
        <v>42</v>
      </c>
      <c r="I74" s="11">
        <v>5000</v>
      </c>
      <c r="J74" s="11">
        <f>G74*I74</f>
        <v>25000</v>
      </c>
      <c r="K74" s="16"/>
      <c r="L74" s="25"/>
    </row>
    <row r="75" spans="2:12" s="3" customFormat="1" ht="18">
      <c r="B75" s="215" t="s">
        <v>102</v>
      </c>
      <c r="C75" s="216"/>
      <c r="D75" s="217"/>
      <c r="E75" s="225" t="s">
        <v>109</v>
      </c>
      <c r="F75" s="226"/>
      <c r="G75" s="178">
        <v>1</v>
      </c>
      <c r="H75" s="179" t="s">
        <v>39</v>
      </c>
      <c r="I75" s="11">
        <v>5000</v>
      </c>
      <c r="J75" s="11">
        <f>G75*I75</f>
        <v>5000</v>
      </c>
      <c r="K75" s="16"/>
      <c r="L75" s="25"/>
    </row>
    <row r="76" spans="2:12" s="3" customFormat="1" ht="18">
      <c r="B76" s="215" t="s">
        <v>103</v>
      </c>
      <c r="C76" s="216"/>
      <c r="D76" s="217"/>
      <c r="E76" s="225" t="s">
        <v>109</v>
      </c>
      <c r="F76" s="226"/>
      <c r="G76" s="178">
        <v>1</v>
      </c>
      <c r="H76" s="179" t="s">
        <v>39</v>
      </c>
      <c r="I76" s="11">
        <v>8800</v>
      </c>
      <c r="J76" s="11">
        <f>G76*I76</f>
        <v>8800</v>
      </c>
      <c r="K76" s="16"/>
      <c r="L76" s="25"/>
    </row>
    <row r="77" spans="2:14" ht="18" customHeight="1">
      <c r="B77" s="285" t="s">
        <v>22</v>
      </c>
      <c r="C77" s="286"/>
      <c r="D77" s="286"/>
      <c r="E77" s="286"/>
      <c r="F77" s="286"/>
      <c r="G77" s="286"/>
      <c r="H77" s="286"/>
      <c r="I77" s="286"/>
      <c r="J77" s="211">
        <f>SUM(J47:J76)</f>
        <v>1156950.5</v>
      </c>
      <c r="K77" s="19"/>
      <c r="M77" s="16"/>
      <c r="N77" s="16"/>
    </row>
    <row r="78" spans="2:14" s="3" customFormat="1" ht="18" customHeight="1">
      <c r="B78" s="30"/>
      <c r="C78" s="30"/>
      <c r="D78" s="30"/>
      <c r="E78" s="30"/>
      <c r="F78" s="30"/>
      <c r="G78" s="31"/>
      <c r="H78" s="30"/>
      <c r="I78" s="30"/>
      <c r="J78" s="32"/>
      <c r="K78" s="16"/>
      <c r="M78" s="16"/>
      <c r="N78" s="16"/>
    </row>
    <row r="79" spans="2:16" ht="18" customHeight="1">
      <c r="B79" s="287" t="s">
        <v>23</v>
      </c>
      <c r="C79" s="288"/>
      <c r="D79" s="288"/>
      <c r="E79" s="288"/>
      <c r="F79" s="288"/>
      <c r="G79" s="288"/>
      <c r="H79" s="288"/>
      <c r="I79" s="288"/>
      <c r="J79" s="104">
        <f>J30+J44+J77</f>
        <v>2962450.5</v>
      </c>
      <c r="K79" s="16"/>
      <c r="M79" s="16"/>
      <c r="N79" s="16"/>
      <c r="O79" s="10"/>
      <c r="P79" s="10"/>
    </row>
    <row r="80" spans="2:14" s="3" customFormat="1" ht="18" customHeight="1">
      <c r="B80" s="86"/>
      <c r="C80" s="86"/>
      <c r="D80" s="86"/>
      <c r="E80" s="86"/>
      <c r="F80" s="86"/>
      <c r="G80" s="33"/>
      <c r="H80" s="86"/>
      <c r="I80" s="86"/>
      <c r="J80" s="28"/>
      <c r="K80" s="16"/>
      <c r="M80" s="16"/>
      <c r="N80" s="16"/>
    </row>
    <row r="81" spans="2:14" s="3" customFormat="1" ht="18" customHeight="1">
      <c r="B81" s="187" t="s">
        <v>79</v>
      </c>
      <c r="C81" s="188"/>
      <c r="D81" s="189"/>
      <c r="E81" s="268" t="s">
        <v>62</v>
      </c>
      <c r="F81" s="268"/>
      <c r="G81" s="190">
        <v>0.05</v>
      </c>
      <c r="H81" s="191"/>
      <c r="I81" s="192"/>
      <c r="J81" s="192">
        <f>J79*0.05</f>
        <v>148122.525</v>
      </c>
      <c r="K81" s="16"/>
      <c r="M81" s="16"/>
      <c r="N81" s="16"/>
    </row>
    <row r="82" spans="2:14" s="3" customFormat="1" ht="18" customHeight="1">
      <c r="B82" s="86"/>
      <c r="C82" s="86"/>
      <c r="D82" s="86"/>
      <c r="E82" s="86"/>
      <c r="F82" s="86"/>
      <c r="G82" s="33"/>
      <c r="H82" s="86"/>
      <c r="I82" s="86"/>
      <c r="J82" s="28"/>
      <c r="K82" s="16"/>
      <c r="M82" s="16"/>
      <c r="N82" s="16"/>
    </row>
    <row r="83" spans="2:14" s="3" customFormat="1" ht="18" customHeight="1">
      <c r="B83" s="141" t="s">
        <v>50</v>
      </c>
      <c r="C83" s="140"/>
      <c r="D83" s="140"/>
      <c r="E83" s="21"/>
      <c r="F83" s="21"/>
      <c r="G83" s="22"/>
      <c r="H83" s="23"/>
      <c r="I83" s="24"/>
      <c r="J83" s="24"/>
      <c r="K83" s="16"/>
      <c r="M83" s="16"/>
      <c r="N83" s="16"/>
    </row>
    <row r="84" spans="2:14" s="3" customFormat="1" ht="18" customHeight="1">
      <c r="B84" s="229" t="s">
        <v>49</v>
      </c>
      <c r="C84" s="230"/>
      <c r="D84" s="230"/>
      <c r="E84" s="230" t="s">
        <v>14</v>
      </c>
      <c r="F84" s="230"/>
      <c r="G84" s="126" t="s">
        <v>15</v>
      </c>
      <c r="H84" s="127" t="s">
        <v>16</v>
      </c>
      <c r="I84" s="128" t="s">
        <v>17</v>
      </c>
      <c r="J84" s="129" t="s">
        <v>2</v>
      </c>
      <c r="K84" s="16"/>
      <c r="M84" s="16"/>
      <c r="N84" s="16"/>
    </row>
    <row r="85" spans="2:15" s="3" customFormat="1" ht="18" customHeight="1">
      <c r="B85" s="273" t="s">
        <v>116</v>
      </c>
      <c r="C85" s="272"/>
      <c r="D85" s="274"/>
      <c r="E85" s="225" t="s">
        <v>62</v>
      </c>
      <c r="F85" s="226"/>
      <c r="G85" s="147">
        <f>E18</f>
        <v>0.015</v>
      </c>
      <c r="H85" s="9" t="s">
        <v>0</v>
      </c>
      <c r="I85" s="148"/>
      <c r="J85" s="11">
        <f>J79*E18*E19*0.5</f>
        <v>111091.89375</v>
      </c>
      <c r="K85" s="16"/>
      <c r="L85" s="272"/>
      <c r="M85" s="272"/>
      <c r="N85" s="272"/>
      <c r="O85" s="272"/>
    </row>
    <row r="86" spans="2:14" s="3" customFormat="1" ht="18" customHeight="1">
      <c r="B86" s="273" t="s">
        <v>25</v>
      </c>
      <c r="C86" s="272"/>
      <c r="D86" s="274"/>
      <c r="E86" s="269"/>
      <c r="F86" s="270"/>
      <c r="G86" s="105"/>
      <c r="H86" s="105"/>
      <c r="I86" s="105"/>
      <c r="J86" s="107"/>
      <c r="K86" s="16"/>
      <c r="M86" s="16"/>
      <c r="N86" s="16"/>
    </row>
    <row r="87" spans="2:14" s="3" customFormat="1" ht="18" customHeight="1">
      <c r="B87" s="273" t="s">
        <v>1</v>
      </c>
      <c r="C87" s="272"/>
      <c r="D87" s="274"/>
      <c r="E87" s="269"/>
      <c r="F87" s="270"/>
      <c r="G87" s="105"/>
      <c r="H87" s="105"/>
      <c r="I87" s="105"/>
      <c r="J87" s="107"/>
      <c r="K87" s="16"/>
      <c r="M87" s="16"/>
      <c r="N87" s="16"/>
    </row>
    <row r="88" spans="2:14" s="3" customFormat="1" ht="18" customHeight="1">
      <c r="B88" s="289" t="s">
        <v>26</v>
      </c>
      <c r="C88" s="290"/>
      <c r="D88" s="291"/>
      <c r="E88" s="248"/>
      <c r="F88" s="249"/>
      <c r="G88" s="106"/>
      <c r="H88" s="106"/>
      <c r="I88" s="106"/>
      <c r="J88" s="108"/>
      <c r="K88" s="16"/>
      <c r="M88" s="16"/>
      <c r="N88" s="16"/>
    </row>
    <row r="89" spans="2:14" ht="18" customHeight="1">
      <c r="B89" s="242" t="s">
        <v>46</v>
      </c>
      <c r="C89" s="243"/>
      <c r="D89" s="243"/>
      <c r="E89" s="243"/>
      <c r="F89" s="243"/>
      <c r="G89" s="243"/>
      <c r="H89" s="243"/>
      <c r="I89" s="243"/>
      <c r="J89" s="146">
        <f>SUM(J85:J88)</f>
        <v>111091.89375</v>
      </c>
      <c r="K89" s="16"/>
      <c r="M89" s="16"/>
      <c r="N89" s="16"/>
    </row>
    <row r="90" spans="2:12" s="3" customFormat="1" ht="18" customHeight="1">
      <c r="B90" s="85"/>
      <c r="C90" s="85"/>
      <c r="D90" s="85"/>
      <c r="E90" s="85"/>
      <c r="F90" s="85"/>
      <c r="G90" s="26"/>
      <c r="H90" s="85"/>
      <c r="I90" s="85"/>
      <c r="J90" s="28"/>
      <c r="K90" s="16"/>
      <c r="L90" s="16"/>
    </row>
    <row r="91" spans="1:12" ht="18" customHeight="1">
      <c r="A91" s="193"/>
      <c r="B91" s="275" t="s">
        <v>27</v>
      </c>
      <c r="C91" s="276"/>
      <c r="D91" s="276"/>
      <c r="E91" s="276"/>
      <c r="F91" s="276"/>
      <c r="G91" s="276"/>
      <c r="H91" s="276"/>
      <c r="I91" s="276"/>
      <c r="J91" s="277">
        <f>J79+J89+J81</f>
        <v>3221664.9187499997</v>
      </c>
      <c r="K91" s="16"/>
      <c r="L91" s="16"/>
    </row>
    <row r="92" spans="2:12" s="3" customFormat="1" ht="18" customHeight="1">
      <c r="B92" s="242"/>
      <c r="C92" s="243"/>
      <c r="D92" s="243"/>
      <c r="E92" s="243"/>
      <c r="F92" s="243"/>
      <c r="G92" s="243"/>
      <c r="H92" s="243"/>
      <c r="I92" s="243"/>
      <c r="J92" s="278"/>
      <c r="K92" s="16"/>
      <c r="L92" s="16"/>
    </row>
    <row r="93" spans="2:12" s="3" customFormat="1" ht="18" customHeight="1">
      <c r="B93" s="85"/>
      <c r="C93" s="85"/>
      <c r="D93" s="85"/>
      <c r="E93" s="85"/>
      <c r="F93" s="85"/>
      <c r="G93" s="26"/>
      <c r="H93" s="85"/>
      <c r="I93" s="85"/>
      <c r="J93" s="28"/>
      <c r="K93" s="16"/>
      <c r="L93" s="16"/>
    </row>
    <row r="94" spans="2:12" s="3" customFormat="1" ht="18" customHeight="1">
      <c r="B94" s="85"/>
      <c r="C94" s="85"/>
      <c r="D94" s="85"/>
      <c r="E94" s="85"/>
      <c r="F94" s="85"/>
      <c r="G94" s="26"/>
      <c r="H94" s="85"/>
      <c r="I94" s="85"/>
      <c r="J94" s="28"/>
      <c r="K94" s="16"/>
      <c r="L94" s="16"/>
    </row>
    <row r="95" spans="2:12" ht="18" customHeight="1">
      <c r="B95" s="253" t="s">
        <v>117</v>
      </c>
      <c r="C95" s="254"/>
      <c r="D95" s="254"/>
      <c r="E95" s="254"/>
      <c r="F95" s="254"/>
      <c r="G95" s="254"/>
      <c r="H95" s="254"/>
      <c r="I95" s="254"/>
      <c r="J95" s="255"/>
      <c r="K95" s="16"/>
      <c r="L95" s="25"/>
    </row>
    <row r="96" spans="2:12" ht="18" customHeight="1">
      <c r="B96" s="256" t="s">
        <v>33</v>
      </c>
      <c r="C96" s="257"/>
      <c r="D96" s="257"/>
      <c r="E96" s="257"/>
      <c r="F96" s="257"/>
      <c r="G96" s="257"/>
      <c r="H96" s="257"/>
      <c r="I96" s="257"/>
      <c r="J96" s="258"/>
      <c r="K96" s="16"/>
      <c r="L96" s="25"/>
    </row>
    <row r="97" spans="2:12" s="3" customFormat="1" ht="18" customHeight="1">
      <c r="B97" s="271" t="s">
        <v>74</v>
      </c>
      <c r="C97" s="271"/>
      <c r="D97" s="271"/>
      <c r="E97" s="279" t="s">
        <v>75</v>
      </c>
      <c r="F97" s="280"/>
      <c r="G97" s="280"/>
      <c r="H97" s="280"/>
      <c r="I97" s="280"/>
      <c r="J97" s="281"/>
      <c r="K97" s="16"/>
      <c r="L97" s="25"/>
    </row>
    <row r="98" spans="2:12" s="3" customFormat="1" ht="18" customHeight="1">
      <c r="B98" s="271"/>
      <c r="C98" s="271"/>
      <c r="D98" s="271"/>
      <c r="E98" s="241">
        <f>G98*0.9</f>
        <v>39.6</v>
      </c>
      <c r="F98" s="241"/>
      <c r="G98" s="231">
        <f>E16</f>
        <v>44</v>
      </c>
      <c r="H98" s="231"/>
      <c r="I98" s="241">
        <f>G98*1.1</f>
        <v>48.400000000000006</v>
      </c>
      <c r="J98" s="241"/>
      <c r="K98" s="16"/>
      <c r="L98" s="25"/>
    </row>
    <row r="99" spans="2:12" s="3" customFormat="1" ht="18" customHeight="1">
      <c r="B99" s="241">
        <f>B100*0.9</f>
        <v>85500</v>
      </c>
      <c r="C99" s="241"/>
      <c r="D99" s="241"/>
      <c r="E99" s="224">
        <f>E$98*$B$99-Hoja1!$C$41</f>
        <v>267447.5812500003</v>
      </c>
      <c r="F99" s="224"/>
      <c r="G99" s="224">
        <f>G$98*$B$99-Hoja1!$C$41</f>
        <v>643647.5812500003</v>
      </c>
      <c r="H99" s="224"/>
      <c r="I99" s="224">
        <f>I$98*$B$99-Hoja1!$C$41</f>
        <v>1019847.5812500007</v>
      </c>
      <c r="J99" s="224"/>
      <c r="K99" s="16"/>
      <c r="L99" s="25"/>
    </row>
    <row r="100" spans="2:12" s="3" customFormat="1" ht="18" customHeight="1">
      <c r="B100" s="241">
        <f>E15</f>
        <v>95000</v>
      </c>
      <c r="C100" s="241"/>
      <c r="D100" s="241"/>
      <c r="E100" s="224">
        <f>E$98*$B$100-$J$91</f>
        <v>540335.0812500003</v>
      </c>
      <c r="F100" s="224"/>
      <c r="G100" s="224">
        <f>G$98*$B$100-$J$91</f>
        <v>958335.0812500003</v>
      </c>
      <c r="H100" s="224"/>
      <c r="I100" s="224">
        <f>I$98*$B$100-$J$91</f>
        <v>1376335.0812500012</v>
      </c>
      <c r="J100" s="224"/>
      <c r="K100" s="16"/>
      <c r="L100" s="25"/>
    </row>
    <row r="101" spans="2:12" s="3" customFormat="1" ht="18" customHeight="1">
      <c r="B101" s="241">
        <f>B100*1.1</f>
        <v>104500.00000000001</v>
      </c>
      <c r="C101" s="241"/>
      <c r="D101" s="241"/>
      <c r="E101" s="224">
        <f>E$98*$B$101-Hoja1!$D$41</f>
        <v>813222.5812500012</v>
      </c>
      <c r="F101" s="224"/>
      <c r="G101" s="224">
        <f>G$98*$B$101-Hoja1!$D$41</f>
        <v>1273022.5812500012</v>
      </c>
      <c r="H101" s="224"/>
      <c r="I101" s="224">
        <f>I$98*$B$101-Hoja1!$D$41</f>
        <v>1732822.5812500012</v>
      </c>
      <c r="J101" s="224"/>
      <c r="K101" s="16"/>
      <c r="L101" s="25"/>
    </row>
    <row r="102" spans="1:12" s="3" customFormat="1" ht="41.25" customHeight="1">
      <c r="A102" s="194"/>
      <c r="B102" s="35"/>
      <c r="C102" s="35"/>
      <c r="D102" s="35"/>
      <c r="E102" s="35"/>
      <c r="F102" s="35"/>
      <c r="G102" s="36"/>
      <c r="H102" s="12"/>
      <c r="I102" s="15"/>
      <c r="J102" s="15"/>
      <c r="K102" s="16"/>
      <c r="L102" s="25"/>
    </row>
    <row r="103" spans="2:12" s="3" customFormat="1" ht="18" customHeight="1">
      <c r="B103" s="235" t="s">
        <v>118</v>
      </c>
      <c r="C103" s="236"/>
      <c r="D103" s="236"/>
      <c r="E103" s="236"/>
      <c r="F103" s="236"/>
      <c r="G103" s="236"/>
      <c r="H103" s="236"/>
      <c r="I103" s="236"/>
      <c r="J103" s="237"/>
      <c r="K103" s="16"/>
      <c r="L103" s="25"/>
    </row>
    <row r="104" spans="2:12" s="3" customFormat="1" ht="18" customHeight="1">
      <c r="B104" s="238"/>
      <c r="C104" s="239"/>
      <c r="D104" s="239"/>
      <c r="E104" s="239"/>
      <c r="F104" s="239"/>
      <c r="G104" s="239"/>
      <c r="H104" s="239"/>
      <c r="I104" s="239"/>
      <c r="J104" s="240"/>
      <c r="K104" s="16"/>
      <c r="L104" s="25"/>
    </row>
    <row r="105" spans="2:12" s="3" customFormat="1" ht="18" customHeight="1">
      <c r="B105" s="246" t="s">
        <v>74</v>
      </c>
      <c r="C105" s="227"/>
      <c r="D105" s="227"/>
      <c r="E105" s="227">
        <f>B99</f>
        <v>85500</v>
      </c>
      <c r="F105" s="227"/>
      <c r="G105" s="227">
        <f>E15</f>
        <v>95000</v>
      </c>
      <c r="H105" s="227"/>
      <c r="I105" s="227">
        <f>B101</f>
        <v>104500.00000000001</v>
      </c>
      <c r="J105" s="259"/>
      <c r="K105" s="16"/>
      <c r="L105" s="25"/>
    </row>
    <row r="106" spans="2:12" ht="18" customHeight="1">
      <c r="B106" s="247"/>
      <c r="C106" s="228"/>
      <c r="D106" s="228"/>
      <c r="E106" s="228"/>
      <c r="F106" s="228"/>
      <c r="G106" s="228"/>
      <c r="H106" s="228"/>
      <c r="I106" s="228"/>
      <c r="J106" s="260"/>
      <c r="K106" s="16"/>
      <c r="L106" s="25"/>
    </row>
    <row r="107" spans="2:12" ht="18" customHeight="1">
      <c r="B107" s="261" t="s">
        <v>76</v>
      </c>
      <c r="C107" s="262"/>
      <c r="D107" s="262"/>
      <c r="E107" s="222">
        <f>Hoja1!C41/'Tomate industrial mecanizado'!E105</f>
        <v>36.47195811403508</v>
      </c>
      <c r="F107" s="222"/>
      <c r="G107" s="223">
        <f>$J$91/G105</f>
        <v>33.912262302631575</v>
      </c>
      <c r="H107" s="223"/>
      <c r="I107" s="222">
        <f>Hoja1!D41/'Tomate industrial mecanizado'!I105</f>
        <v>31.817965729665065</v>
      </c>
      <c r="J107" s="244"/>
      <c r="K107" s="16"/>
      <c r="L107" s="25"/>
    </row>
    <row r="108" spans="2:12" ht="18" customHeight="1">
      <c r="B108" s="263"/>
      <c r="C108" s="264"/>
      <c r="D108" s="264"/>
      <c r="E108" s="223"/>
      <c r="F108" s="223"/>
      <c r="G108" s="223"/>
      <c r="H108" s="223"/>
      <c r="I108" s="223"/>
      <c r="J108" s="245"/>
      <c r="K108" s="16"/>
      <c r="L108" s="25"/>
    </row>
    <row r="109" spans="2:12" ht="18" customHeight="1">
      <c r="B109" s="46"/>
      <c r="C109" s="1"/>
      <c r="D109" s="3"/>
      <c r="E109" s="3"/>
      <c r="F109" s="110"/>
      <c r="G109" s="110"/>
      <c r="H109" s="110"/>
      <c r="I109" s="15"/>
      <c r="J109" s="15"/>
      <c r="K109" s="16"/>
      <c r="L109" s="25"/>
    </row>
    <row r="110" spans="2:12" ht="18" customHeight="1">
      <c r="B110" s="165" t="s">
        <v>55</v>
      </c>
      <c r="C110" s="1"/>
      <c r="D110" s="3"/>
      <c r="E110" s="3"/>
      <c r="F110" s="149"/>
      <c r="G110" s="149"/>
      <c r="H110" s="149"/>
      <c r="I110" s="15"/>
      <c r="J110" s="15"/>
      <c r="K110" s="16"/>
      <c r="L110" s="25"/>
    </row>
    <row r="111" spans="2:11" s="164" customFormat="1" ht="30" customHeight="1">
      <c r="B111" s="219" t="s">
        <v>120</v>
      </c>
      <c r="C111" s="220"/>
      <c r="D111" s="220"/>
      <c r="E111" s="220"/>
      <c r="F111" s="220"/>
      <c r="G111" s="220"/>
      <c r="H111" s="220"/>
      <c r="I111" s="220"/>
      <c r="J111" s="221"/>
      <c r="K111" s="163"/>
    </row>
    <row r="112" spans="2:11" s="3" customFormat="1" ht="18.75">
      <c r="B112" s="160" t="s">
        <v>121</v>
      </c>
      <c r="C112" s="158"/>
      <c r="D112" s="158"/>
      <c r="E112" s="158"/>
      <c r="F112" s="158"/>
      <c r="G112" s="158"/>
      <c r="H112" s="158"/>
      <c r="I112" s="158"/>
      <c r="J112" s="159"/>
      <c r="K112" s="81"/>
    </row>
    <row r="113" spans="2:11" s="3" customFormat="1" ht="47.25" customHeight="1">
      <c r="B113" s="265" t="s">
        <v>69</v>
      </c>
      <c r="C113" s="266"/>
      <c r="D113" s="266"/>
      <c r="E113" s="266"/>
      <c r="F113" s="266"/>
      <c r="G113" s="266"/>
      <c r="H113" s="266"/>
      <c r="I113" s="266"/>
      <c r="J113" s="267"/>
      <c r="K113" s="80"/>
    </row>
    <row r="114" spans="2:11" s="3" customFormat="1" ht="18.75">
      <c r="B114" s="160" t="s">
        <v>127</v>
      </c>
      <c r="C114" s="158"/>
      <c r="D114" s="158"/>
      <c r="E114" s="158"/>
      <c r="F114" s="158"/>
      <c r="G114" s="158"/>
      <c r="H114" s="158"/>
      <c r="I114" s="158"/>
      <c r="J114" s="159"/>
      <c r="K114" s="81"/>
    </row>
    <row r="115" spans="2:11" s="3" customFormat="1" ht="18.75">
      <c r="B115" s="160" t="s">
        <v>71</v>
      </c>
      <c r="C115" s="158"/>
      <c r="D115" s="158"/>
      <c r="E115" s="158"/>
      <c r="F115" s="158"/>
      <c r="G115" s="158"/>
      <c r="H115" s="158"/>
      <c r="I115" s="158"/>
      <c r="J115" s="159"/>
      <c r="K115" s="81"/>
    </row>
    <row r="116" spans="2:11" s="3" customFormat="1" ht="18.75">
      <c r="B116" s="161" t="s">
        <v>56</v>
      </c>
      <c r="C116" s="162"/>
      <c r="D116" s="162"/>
      <c r="E116" s="162"/>
      <c r="F116" s="162"/>
      <c r="G116" s="162"/>
      <c r="H116" s="162"/>
      <c r="I116" s="162"/>
      <c r="J116" s="159"/>
      <c r="K116" s="81"/>
    </row>
    <row r="117" spans="2:11" s="3" customFormat="1" ht="18.75">
      <c r="B117" s="250" t="s">
        <v>57</v>
      </c>
      <c r="C117" s="251"/>
      <c r="D117" s="251"/>
      <c r="E117" s="251"/>
      <c r="F117" s="251"/>
      <c r="G117" s="251"/>
      <c r="H117" s="251"/>
      <c r="I117" s="251"/>
      <c r="J117" s="252"/>
      <c r="K117" s="81"/>
    </row>
    <row r="118" spans="2:11" s="3" customFormat="1" ht="18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4"/>
    </row>
    <row r="119" spans="2:11" s="3" customFormat="1" ht="16.5" customHeight="1">
      <c r="B119" s="39"/>
      <c r="C119" s="39"/>
      <c r="D119" s="39"/>
      <c r="E119" s="39"/>
      <c r="F119" s="39"/>
      <c r="G119" s="40"/>
      <c r="H119" s="39"/>
      <c r="I119" s="39"/>
      <c r="J119" s="39"/>
      <c r="K119" s="10"/>
    </row>
    <row r="120" spans="2:11" s="3" customFormat="1" ht="15">
      <c r="B120" s="4"/>
      <c r="C120" s="4"/>
      <c r="D120" s="4"/>
      <c r="E120" s="4"/>
      <c r="F120" s="4"/>
      <c r="G120" s="5"/>
      <c r="H120" s="4"/>
      <c r="I120" s="4"/>
      <c r="J120" s="4"/>
      <c r="K120" s="10"/>
    </row>
    <row r="121" spans="2:11" s="3" customFormat="1" ht="15">
      <c r="B121" s="6"/>
      <c r="C121" s="6"/>
      <c r="D121" s="6"/>
      <c r="E121" s="6"/>
      <c r="F121" s="6"/>
      <c r="G121" s="7"/>
      <c r="H121" s="6"/>
      <c r="I121" s="6"/>
      <c r="J121" s="6"/>
      <c r="K121" s="10"/>
    </row>
    <row r="122" spans="2:11" s="3" customFormat="1" ht="15">
      <c r="B122" s="6"/>
      <c r="C122" s="6"/>
      <c r="D122" s="6"/>
      <c r="E122" s="6"/>
      <c r="F122" s="6"/>
      <c r="G122" s="7"/>
      <c r="H122" s="6"/>
      <c r="I122" s="6"/>
      <c r="J122" s="6"/>
      <c r="K122" s="10"/>
    </row>
    <row r="123" spans="2:11" s="3" customFormat="1" ht="15">
      <c r="B123" s="6"/>
      <c r="C123" s="6"/>
      <c r="D123" s="6"/>
      <c r="E123" s="6"/>
      <c r="F123" s="6"/>
      <c r="G123" s="7"/>
      <c r="H123" s="6"/>
      <c r="I123" s="6"/>
      <c r="J123" s="6"/>
      <c r="K123" s="10"/>
    </row>
    <row r="124" spans="2:12" s="3" customFormat="1" ht="15">
      <c r="B124" s="67"/>
      <c r="C124" s="67"/>
      <c r="D124" s="67"/>
      <c r="E124" s="67"/>
      <c r="F124" s="67"/>
      <c r="G124" s="68"/>
      <c r="H124" s="67"/>
      <c r="I124" s="67"/>
      <c r="J124" s="67"/>
      <c r="K124" s="69"/>
      <c r="L124" s="67"/>
    </row>
    <row r="125" spans="2:12" s="3" customFormat="1" ht="15">
      <c r="B125" s="67"/>
      <c r="C125" s="67"/>
      <c r="D125" s="67"/>
      <c r="E125" s="67"/>
      <c r="F125" s="67"/>
      <c r="G125" s="68"/>
      <c r="H125" s="67"/>
      <c r="I125" s="67"/>
      <c r="J125" s="67"/>
      <c r="K125" s="69"/>
      <c r="L125" s="67"/>
    </row>
    <row r="126" spans="2:12" s="3" customFormat="1" ht="1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ht="18">
      <c r="B128" s="56"/>
      <c r="C128" s="56"/>
      <c r="D128" s="57"/>
      <c r="E128" s="57"/>
      <c r="F128" s="58"/>
      <c r="G128" s="58"/>
      <c r="H128" s="58"/>
      <c r="I128" s="67"/>
      <c r="J128" s="67"/>
      <c r="K128" s="69"/>
      <c r="L128" s="67"/>
    </row>
    <row r="129" spans="2:12" ht="18">
      <c r="B129" s="56"/>
      <c r="C129" s="59"/>
      <c r="D129" s="59"/>
      <c r="E129" s="60"/>
      <c r="F129" s="59"/>
      <c r="G129" s="61"/>
      <c r="H129" s="62"/>
      <c r="I129" s="67"/>
      <c r="J129" s="67"/>
      <c r="K129" s="69"/>
      <c r="L129" s="67"/>
    </row>
    <row r="130" spans="2:12" ht="18">
      <c r="B130" s="57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ht="18">
      <c r="B131" s="56"/>
      <c r="C131" s="57"/>
      <c r="D131" s="57"/>
      <c r="E131" s="57"/>
      <c r="F131" s="57"/>
      <c r="G131" s="57"/>
      <c r="H131" s="57"/>
      <c r="I131" s="67"/>
      <c r="J131" s="67"/>
      <c r="K131" s="69"/>
      <c r="L131" s="67"/>
    </row>
    <row r="132" spans="2:12" ht="18">
      <c r="B132" s="70"/>
      <c r="C132" s="71"/>
      <c r="D132" s="71"/>
      <c r="E132" s="63"/>
      <c r="F132" s="63"/>
      <c r="G132" s="63"/>
      <c r="H132" s="63"/>
      <c r="I132" s="67"/>
      <c r="J132" s="69"/>
      <c r="K132" s="69"/>
      <c r="L132" s="67"/>
    </row>
    <row r="133" spans="2:12" ht="18">
      <c r="B133" s="70"/>
      <c r="C133" s="71"/>
      <c r="D133" s="71"/>
      <c r="E133" s="63"/>
      <c r="F133" s="63"/>
      <c r="G133" s="63"/>
      <c r="H133" s="63"/>
      <c r="I133" s="67"/>
      <c r="J133" s="69"/>
      <c r="K133" s="69"/>
      <c r="L133" s="67"/>
    </row>
    <row r="134" spans="2:12" ht="18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ht="18">
      <c r="B135" s="57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ht="18">
      <c r="B136" s="56"/>
      <c r="C136" s="57"/>
      <c r="D136" s="57"/>
      <c r="E136" s="57"/>
      <c r="F136" s="57"/>
      <c r="G136" s="57"/>
      <c r="H136" s="57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284"/>
      <c r="C139" s="284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8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8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8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8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8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8">
      <c r="B149" s="72"/>
      <c r="C149" s="73"/>
      <c r="D149" s="74"/>
      <c r="E149" s="75"/>
      <c r="F149" s="74"/>
      <c r="G149" s="76"/>
      <c r="H149" s="76"/>
      <c r="I149" s="67"/>
      <c r="J149" s="67"/>
      <c r="K149" s="69"/>
      <c r="L149" s="67"/>
    </row>
    <row r="150" spans="2:12" ht="18">
      <c r="B150" s="64"/>
      <c r="C150" s="65"/>
      <c r="D150" s="65"/>
      <c r="E150" s="64"/>
      <c r="F150" s="64"/>
      <c r="G150" s="64"/>
      <c r="H150" s="66"/>
      <c r="I150" s="67"/>
      <c r="J150" s="67"/>
      <c r="K150" s="69"/>
      <c r="L150" s="67"/>
    </row>
    <row r="151" spans="2:12" ht="18">
      <c r="B151" s="57"/>
      <c r="C151" s="57"/>
      <c r="D151" s="57"/>
      <c r="E151" s="57"/>
      <c r="F151" s="57"/>
      <c r="G151" s="57"/>
      <c r="H151" s="57"/>
      <c r="I151" s="67"/>
      <c r="J151" s="67"/>
      <c r="K151" s="69"/>
      <c r="L151" s="67"/>
    </row>
    <row r="152" spans="2:12" ht="18">
      <c r="B152" s="64"/>
      <c r="C152" s="65"/>
      <c r="D152" s="65"/>
      <c r="E152" s="64"/>
      <c r="F152" s="64"/>
      <c r="G152" s="64"/>
      <c r="H152" s="66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77"/>
      <c r="C163" s="77"/>
      <c r="D163" s="77"/>
      <c r="E163" s="77"/>
      <c r="F163" s="7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9"/>
      <c r="D166" s="69"/>
      <c r="E166" s="69"/>
      <c r="F166" s="69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9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9"/>
      <c r="D173" s="69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8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9"/>
      <c r="C186" s="69"/>
      <c r="D186" s="69"/>
      <c r="E186" s="69"/>
      <c r="F186" s="69"/>
      <c r="G186" s="69"/>
      <c r="H186" s="69"/>
      <c r="I186" s="69"/>
      <c r="J186" s="67"/>
      <c r="K186" s="69"/>
      <c r="L186" s="67"/>
    </row>
    <row r="187" spans="2:12" s="3" customFormat="1" ht="15">
      <c r="B187" s="69"/>
      <c r="C187" s="69"/>
      <c r="D187" s="69"/>
      <c r="E187" s="69"/>
      <c r="F187" s="69"/>
      <c r="G187" s="78"/>
      <c r="H187" s="69"/>
      <c r="I187" s="69"/>
      <c r="J187" s="67"/>
      <c r="K187" s="69"/>
      <c r="L187" s="78"/>
    </row>
    <row r="188" spans="2:12" s="3" customFormat="1" ht="15">
      <c r="B188" s="69"/>
      <c r="C188" s="69"/>
      <c r="D188" s="69"/>
      <c r="E188" s="69"/>
      <c r="F188" s="69"/>
      <c r="G188" s="69"/>
      <c r="H188" s="69"/>
      <c r="I188" s="7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9"/>
      <c r="I204" s="69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9"/>
      <c r="I205" s="69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</sheetData>
  <sheetProtection/>
  <mergeCells count="109">
    <mergeCell ref="E33:F33"/>
    <mergeCell ref="E65:F65"/>
    <mergeCell ref="E68:F68"/>
    <mergeCell ref="E71:F71"/>
    <mergeCell ref="E58:F58"/>
    <mergeCell ref="E59:F59"/>
    <mergeCell ref="E42:F42"/>
    <mergeCell ref="E55:F55"/>
    <mergeCell ref="B44:I44"/>
    <mergeCell ref="E50:F50"/>
    <mergeCell ref="E47:F47"/>
    <mergeCell ref="B41:D41"/>
    <mergeCell ref="B34:D34"/>
    <mergeCell ref="E41:F41"/>
    <mergeCell ref="E37:F37"/>
    <mergeCell ref="B46:D46"/>
    <mergeCell ref="E46:F46"/>
    <mergeCell ref="E24:F24"/>
    <mergeCell ref="B38:D38"/>
    <mergeCell ref="B40:D40"/>
    <mergeCell ref="E40:F40"/>
    <mergeCell ref="E22:F22"/>
    <mergeCell ref="E35:F35"/>
    <mergeCell ref="E26:F26"/>
    <mergeCell ref="E27:F27"/>
    <mergeCell ref="E34:F34"/>
    <mergeCell ref="E36:F36"/>
    <mergeCell ref="B43:D43"/>
    <mergeCell ref="E25:F25"/>
    <mergeCell ref="E28:F28"/>
    <mergeCell ref="E29:F29"/>
    <mergeCell ref="E38:F38"/>
    <mergeCell ref="E39:F39"/>
    <mergeCell ref="B42:D42"/>
    <mergeCell ref="E32:F32"/>
    <mergeCell ref="B32:D32"/>
    <mergeCell ref="B33:D33"/>
    <mergeCell ref="B2:J2"/>
    <mergeCell ref="E3:G3"/>
    <mergeCell ref="B14:E14"/>
    <mergeCell ref="G14:J14"/>
    <mergeCell ref="D4:H4"/>
    <mergeCell ref="E23:F23"/>
    <mergeCell ref="B16:D16"/>
    <mergeCell ref="B23:D23"/>
    <mergeCell ref="D7:J7"/>
    <mergeCell ref="B30:I30"/>
    <mergeCell ref="B139:C139"/>
    <mergeCell ref="B85:D85"/>
    <mergeCell ref="B77:I77"/>
    <mergeCell ref="B79:I79"/>
    <mergeCell ref="B88:D88"/>
    <mergeCell ref="E84:F84"/>
    <mergeCell ref="B101:D101"/>
    <mergeCell ref="G100:H100"/>
    <mergeCell ref="E86:F86"/>
    <mergeCell ref="L85:O85"/>
    <mergeCell ref="B87:D87"/>
    <mergeCell ref="B86:D86"/>
    <mergeCell ref="E85:F85"/>
    <mergeCell ref="B91:I92"/>
    <mergeCell ref="J91:J92"/>
    <mergeCell ref="B117:J117"/>
    <mergeCell ref="B95:J95"/>
    <mergeCell ref="B96:J96"/>
    <mergeCell ref="I105:J106"/>
    <mergeCell ref="E100:F100"/>
    <mergeCell ref="E101:F101"/>
    <mergeCell ref="G99:H99"/>
    <mergeCell ref="B107:D108"/>
    <mergeCell ref="B113:J113"/>
    <mergeCell ref="B97:D98"/>
    <mergeCell ref="E49:F49"/>
    <mergeCell ref="E61:F61"/>
    <mergeCell ref="E60:F60"/>
    <mergeCell ref="E54:F54"/>
    <mergeCell ref="E51:F51"/>
    <mergeCell ref="E105:F106"/>
    <mergeCell ref="E88:F88"/>
    <mergeCell ref="E81:F81"/>
    <mergeCell ref="E87:F87"/>
    <mergeCell ref="E97:J97"/>
    <mergeCell ref="G107:H108"/>
    <mergeCell ref="G101:H101"/>
    <mergeCell ref="B100:D100"/>
    <mergeCell ref="B89:I89"/>
    <mergeCell ref="B99:D99"/>
    <mergeCell ref="I107:J108"/>
    <mergeCell ref="B105:D106"/>
    <mergeCell ref="E43:F43"/>
    <mergeCell ref="E64:F64"/>
    <mergeCell ref="E63:F63"/>
    <mergeCell ref="E52:F52"/>
    <mergeCell ref="E62:F62"/>
    <mergeCell ref="B103:J104"/>
    <mergeCell ref="I98:J98"/>
    <mergeCell ref="I99:J99"/>
    <mergeCell ref="I100:J100"/>
    <mergeCell ref="E98:F98"/>
    <mergeCell ref="B111:J111"/>
    <mergeCell ref="E107:F108"/>
    <mergeCell ref="E99:F99"/>
    <mergeCell ref="E74:F74"/>
    <mergeCell ref="E75:F75"/>
    <mergeCell ref="E76:F76"/>
    <mergeCell ref="G105:H106"/>
    <mergeCell ref="I101:J101"/>
    <mergeCell ref="B84:D84"/>
    <mergeCell ref="G98:H98"/>
  </mergeCells>
  <printOptions horizontalCentered="1"/>
  <pageMargins left="0.2362204724409449" right="0.2362204724409449" top="0.7480314960629921" bottom="0.7480314960629921" header="0.31496062992125984" footer="0.31496062992125984"/>
  <pageSetup fitToHeight="2" orientation="portrait" scale="50" r:id="rId2"/>
  <rowBreaks count="1" manualBreakCount="1">
    <brk id="7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D41" sqref="C41:D4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31</v>
      </c>
      <c r="C2" s="50">
        <f>(('Tomate industrial mecanizado'!E15-95000)/95000)+1</f>
        <v>1</v>
      </c>
    </row>
    <row r="3" ht="18">
      <c r="B3" s="13"/>
    </row>
    <row r="4" spans="2:3" ht="18">
      <c r="B4" s="310" t="s">
        <v>32</v>
      </c>
      <c r="C4" s="310"/>
    </row>
    <row r="5" spans="2:4" ht="18">
      <c r="B5" s="166" t="s">
        <v>87</v>
      </c>
      <c r="C5" s="83"/>
      <c r="D5" s="84">
        <v>95000</v>
      </c>
    </row>
    <row r="6" spans="2:4" ht="18">
      <c r="B6" s="82" t="s">
        <v>88</v>
      </c>
      <c r="C6" s="83"/>
      <c r="D6" s="84">
        <v>95000</v>
      </c>
    </row>
    <row r="7" spans="2:4" ht="15">
      <c r="B7" s="27"/>
      <c r="C7" s="27"/>
      <c r="D7" s="27"/>
    </row>
    <row r="15" spans="2:4" ht="15">
      <c r="B15" s="311" t="s">
        <v>28</v>
      </c>
      <c r="C15" s="311"/>
      <c r="D15" s="311"/>
    </row>
    <row r="17" spans="2:4" ht="18">
      <c r="B17" s="49" t="s">
        <v>30</v>
      </c>
      <c r="C17" s="48">
        <f>'Tomate industrial mecanizado'!B99</f>
        <v>85500</v>
      </c>
      <c r="D17" s="48">
        <f>'Tomate industrial mecanizado'!B101</f>
        <v>104500.00000000001</v>
      </c>
    </row>
    <row r="18" ht="15">
      <c r="B18" s="25"/>
    </row>
    <row r="19" spans="2:4" ht="15">
      <c r="B19" s="47" t="s">
        <v>31</v>
      </c>
      <c r="C19" s="50">
        <f>((C17-'Tomate industrial mecanizado'!E15)/'Tomate industrial mecanizado'!E15)+1</f>
        <v>0.9</v>
      </c>
      <c r="D19" s="50">
        <f>((D17-'Tomate industrial mecanizado'!E15)/'Tomate industrial mecanizado'!E15)+1</f>
        <v>1.1</v>
      </c>
    </row>
    <row r="20" spans="2:4" ht="18">
      <c r="B20" s="17"/>
      <c r="C20" s="48"/>
      <c r="D20" s="48"/>
    </row>
    <row r="21" spans="2:4" ht="18">
      <c r="B21" s="49" t="s">
        <v>18</v>
      </c>
      <c r="C21" s="48"/>
      <c r="D21" s="48"/>
    </row>
    <row r="22" spans="2:4" ht="18">
      <c r="B22" s="17" t="s">
        <v>34</v>
      </c>
      <c r="C22" s="10">
        <f>SUM('Tomate industrial mecanizado'!J24:J29)</f>
        <v>273000</v>
      </c>
      <c r="D22" s="10">
        <f>SUM('Tomate industrial mecanizado'!J24:J29)</f>
        <v>273000</v>
      </c>
    </row>
    <row r="23" spans="2:4" ht="18">
      <c r="B23" s="51" t="s">
        <v>35</v>
      </c>
      <c r="C23" s="52">
        <v>0</v>
      </c>
      <c r="D23" s="52">
        <v>0</v>
      </c>
    </row>
    <row r="24" spans="2:4" ht="18">
      <c r="B24" s="17" t="s">
        <v>36</v>
      </c>
      <c r="C24" s="10">
        <f>SUM(C22:C23)</f>
        <v>273000</v>
      </c>
      <c r="D24" s="10">
        <f>SUM(D22:D23)</f>
        <v>273000</v>
      </c>
    </row>
    <row r="25" ht="18">
      <c r="B25" s="17"/>
    </row>
    <row r="26" ht="18">
      <c r="B26" s="49" t="s">
        <v>20</v>
      </c>
    </row>
    <row r="27" spans="2:4" ht="18">
      <c r="B27" s="17" t="s">
        <v>34</v>
      </c>
      <c r="C27" s="10">
        <f>SUM('Tomate industrial mecanizado'!J33:J41)</f>
        <v>582500</v>
      </c>
      <c r="D27" s="10">
        <f>SUM('Tomate industrial mecanizado'!J33:J41)</f>
        <v>582500</v>
      </c>
    </row>
    <row r="28" spans="2:4" ht="18">
      <c r="B28" s="51" t="s">
        <v>35</v>
      </c>
      <c r="C28" s="52">
        <f>C19*SUM('Tomate industrial mecanizado'!J42:J43)</f>
        <v>855000</v>
      </c>
      <c r="D28" s="52">
        <f>D19*SUM('Tomate industrial mecanizado'!J42:J43)</f>
        <v>1045000.0000000001</v>
      </c>
    </row>
    <row r="29" spans="2:4" ht="18">
      <c r="B29" s="17" t="s">
        <v>36</v>
      </c>
      <c r="C29" s="10">
        <f>SUM(C27:C28)</f>
        <v>1437500</v>
      </c>
      <c r="D29" s="10">
        <f>SUM(D27:D28)</f>
        <v>1627500</v>
      </c>
    </row>
    <row r="31" ht="18">
      <c r="B31" s="49" t="s">
        <v>37</v>
      </c>
    </row>
    <row r="32" spans="2:4" ht="18">
      <c r="B32" s="17" t="s">
        <v>34</v>
      </c>
      <c r="C32" s="10">
        <f>SUM('Tomate industrial mecanizado'!J47:J76)</f>
        <v>1156950.5</v>
      </c>
      <c r="D32" s="10">
        <f>SUM('Tomate industrial mecanizado'!J47:J76)</f>
        <v>1156950.5</v>
      </c>
    </row>
    <row r="33" spans="2:4" ht="18">
      <c r="B33" s="51" t="s">
        <v>35</v>
      </c>
      <c r="C33" s="52">
        <v>0</v>
      </c>
      <c r="D33" s="52">
        <v>0</v>
      </c>
    </row>
    <row r="34" spans="2:4" ht="18">
      <c r="B34" s="17" t="s">
        <v>36</v>
      </c>
      <c r="C34" s="10">
        <f>SUM(C32:C33)</f>
        <v>1156950.5</v>
      </c>
      <c r="D34" s="10">
        <f>SUM(D32:D33)</f>
        <v>1156950.5</v>
      </c>
    </row>
    <row r="35" spans="2:4" ht="15">
      <c r="B35" s="25"/>
      <c r="C35" s="29"/>
      <c r="D35" s="29"/>
    </row>
    <row r="36" spans="2:4" ht="18">
      <c r="B36" s="54" t="s">
        <v>38</v>
      </c>
      <c r="C36" s="55">
        <f>C24+C29+C34</f>
        <v>2867450.5</v>
      </c>
      <c r="D36" s="55">
        <f>D24+D29+D34</f>
        <v>3057450.5</v>
      </c>
    </row>
    <row r="37" ht="15">
      <c r="B37" s="25"/>
    </row>
    <row r="38" spans="2:4" ht="18">
      <c r="B38" s="53" t="s">
        <v>24</v>
      </c>
      <c r="C38" s="10">
        <f>C36*'Tomate industrial mecanizado'!E18*'Tomate industrial mecanizado'!E19*0.5</f>
        <v>107529.39375</v>
      </c>
      <c r="D38" s="10">
        <f>D36*'Tomate industrial mecanizado'!E18*'Tomate industrial mecanizado'!E19*0.5</f>
        <v>114654.39375</v>
      </c>
    </row>
    <row r="39" spans="2:4" ht="18">
      <c r="B39" s="53" t="s">
        <v>78</v>
      </c>
      <c r="C39" s="10">
        <f>C36*'Tomate industrial mecanizado'!G81</f>
        <v>143372.525</v>
      </c>
      <c r="D39" s="10">
        <f>D36*'Tomate industrial mecanizado'!G81</f>
        <v>152872.525</v>
      </c>
    </row>
    <row r="40" ht="15">
      <c r="B40" s="25"/>
    </row>
    <row r="41" spans="2:4" ht="18">
      <c r="B41" s="54" t="s">
        <v>27</v>
      </c>
      <c r="C41" s="55">
        <f>C36+C38+C39</f>
        <v>3118352.4187499997</v>
      </c>
      <c r="D41" s="55">
        <f>D36+D38+D39</f>
        <v>3324977.4187499997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2015-01-08T14:42:53Z</cp:lastPrinted>
  <dcterms:created xsi:type="dcterms:W3CDTF">2012-07-09T18:51:50Z</dcterms:created>
  <dcterms:modified xsi:type="dcterms:W3CDTF">2017-10-11T14:01:08Z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c9de0b95-8075-4b19-b266-a65a81f83a0b</vt:lpwstr>
  </property>
</Properties>
</file>