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sandia" sheetId="1" r:id="rId1"/>
    <sheet name="rdto_variable" sheetId="2" r:id="rId2"/>
  </sheets>
  <definedNames>
    <definedName name="_xlfn.IFERROR" hidden="1">#NAME?</definedName>
    <definedName name="_xlnm.Print_Area" localSheetId="0">'sandia'!$A$1:$K$118</definedName>
    <definedName name="costo_financiero">'sandia'!$J$83</definedName>
    <definedName name="imprevistos">'sandia'!$J$79</definedName>
    <definedName name="meses_financiamiento">'sandia'!$E$17</definedName>
    <definedName name="precio_de_venta">'sandia'!$E$14</definedName>
    <definedName name="rendimiento">'sandia'!$E$13</definedName>
    <definedName name="tasa_interes_mensual">'sandia'!$E$16</definedName>
    <definedName name="total_costos">'sandia'!$J$89</definedName>
    <definedName name="total_costos_directos">'sandia'!$J$77</definedName>
    <definedName name="total_costos_indirectos">'sandia'!$J$87</definedName>
    <definedName name="total_insumos">'sandia'!$J$75</definedName>
    <definedName name="total_mano_obra">'sandia'!$J$34</definedName>
    <definedName name="total_maquinaria">'sandia'!$J$44</definedName>
  </definedNames>
  <calcPr fullCalcOnLoad="1"/>
</workbook>
</file>

<file path=xl/sharedStrings.xml><?xml version="1.0" encoding="utf-8"?>
<sst xmlns="http://schemas.openxmlformats.org/spreadsheetml/2006/main" count="228" uniqueCount="155">
  <si>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</si>
  <si>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</si>
  <si>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</si>
  <si>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</si>
  <si>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</si>
  <si>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</si>
  <si>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</si>
  <si>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</si>
  <si>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</si>
  <si>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</si>
  <si>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</si>
  <si>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</si>
  <si>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</si>
  <si>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</si>
  <si>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</si>
  <si>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</si>
  <si>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</si>
  <si>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</si>
  <si>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</si>
  <si>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</si>
  <si>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</si>
  <si>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</si>
  <si>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</si>
  <si>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</si>
  <si>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</si>
  <si>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</si>
  <si>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</si>
  <si>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</si>
  <si>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</si>
  <si>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</si>
  <si>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</si>
  <si>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</si>
  <si>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</si>
  <si>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</si>
  <si>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</si>
  <si>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</si>
  <si>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</si>
  <si>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</si>
  <si>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</si>
  <si>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</si>
  <si>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</si>
  <si>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</si>
  <si>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</si>
  <si>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</si>
  <si>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</si>
  <si>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</si>
  <si>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</si>
  <si>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</si>
  <si>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</si>
  <si>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</si>
  <si>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</si>
  <si>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</si>
  <si>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</si>
  <si>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</si>
  <si>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</si>
  <si>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</si>
  <si>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</si>
  <si>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</si>
  <si>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</si>
  <si>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</si>
  <si>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</si>
  <si>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</si>
  <si>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Plantas</t>
  </si>
  <si>
    <t>Anual</t>
  </si>
  <si>
    <t>Análisis</t>
  </si>
  <si>
    <t>Un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</si>
  <si>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</si>
  <si>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Fertilizantes foliares:</t>
  </si>
  <si>
    <t>Otros:</t>
  </si>
  <si>
    <t>Urea</t>
  </si>
  <si>
    <t>Karate con tecnología Zeon</t>
  </si>
  <si>
    <t>Fosfimax 40 20</t>
  </si>
  <si>
    <t>Baño químico</t>
  </si>
  <si>
    <t>Rdto original ficha</t>
  </si>
  <si>
    <t>Ponderador/variación</t>
  </si>
  <si>
    <t>Mano de Obra</t>
  </si>
  <si>
    <t>Maquinaria</t>
  </si>
  <si>
    <t>Insumos</t>
  </si>
  <si>
    <t>Cantidad (Q)</t>
  </si>
  <si>
    <t>Variedad: Delta</t>
  </si>
  <si>
    <t>Colocar mulch</t>
  </si>
  <si>
    <t>Julio-septiembre</t>
  </si>
  <si>
    <t>Colcar túneles y arcos</t>
  </si>
  <si>
    <t>Junio-agosto</t>
  </si>
  <si>
    <t>Plantación</t>
  </si>
  <si>
    <t>Agosto-septiembre</t>
  </si>
  <si>
    <t>Manejo de túneles para la aireación</t>
  </si>
  <si>
    <t>Sacar túneles y arcos para la otra temporada</t>
  </si>
  <si>
    <t>Octubre</t>
  </si>
  <si>
    <t>Riegos</t>
  </si>
  <si>
    <t>Agosto-enero</t>
  </si>
  <si>
    <t>Control de malezas</t>
  </si>
  <si>
    <t>Septiembre-diciembre</t>
  </si>
  <si>
    <t>Aplicación de fertilizantes</t>
  </si>
  <si>
    <t>Agosto-noviembre</t>
  </si>
  <si>
    <t>Septiembre-noviembre</t>
  </si>
  <si>
    <t>Aplicación de agroquímicos</t>
  </si>
  <si>
    <t>Agosto-diciembre</t>
  </si>
  <si>
    <t>Cortador de sandía</t>
  </si>
  <si>
    <t>Diciembre-enero</t>
  </si>
  <si>
    <t>Cosecha(2)</t>
  </si>
  <si>
    <t>Bins</t>
  </si>
  <si>
    <t>Aradura</t>
  </si>
  <si>
    <t>Marzo-julio</t>
  </si>
  <si>
    <t>Rastraje</t>
  </si>
  <si>
    <t>Melgadura, abonadura y confección de mesa</t>
  </si>
  <si>
    <t>Acequiadura</t>
  </si>
  <si>
    <t>Septiembre-octubre</t>
  </si>
  <si>
    <t>Acarreo de insumos</t>
  </si>
  <si>
    <t>Plántula</t>
  </si>
  <si>
    <t>Mezcla hortalicera</t>
  </si>
  <si>
    <t>Octubre-noviembre</t>
  </si>
  <si>
    <t>Nitrato de calcio</t>
  </si>
  <si>
    <t>Junio-octubre</t>
  </si>
  <si>
    <t>Topas 200 EW</t>
  </si>
  <si>
    <t>agosto-octubre</t>
  </si>
  <si>
    <t>Agosto-octubre</t>
  </si>
  <si>
    <t>Terrasorb foliar</t>
  </si>
  <si>
    <t>U</t>
  </si>
  <si>
    <t>Plástico mulch</t>
  </si>
  <si>
    <t>Rollos</t>
  </si>
  <si>
    <t>Junio-julio</t>
  </si>
  <si>
    <t>Julio-agosto</t>
  </si>
  <si>
    <t>Sandía en túnel, con mulch</t>
  </si>
  <si>
    <t>Región de O'Higgins</t>
  </si>
  <si>
    <t>1 hectárea marzo 2016</t>
  </si>
  <si>
    <t>Tecnología de riego: surco</t>
  </si>
  <si>
    <t>Densidad (Plantas/ha): 10.000 (2,0m x 0,5m)</t>
  </si>
  <si>
    <t>Fecha de plantación: agosto-septiembre</t>
  </si>
  <si>
    <t>Fecha de cosecha: diciembre-enero</t>
  </si>
  <si>
    <t>Cultivación y surcos de riego entre hileras</t>
  </si>
  <si>
    <t/>
  </si>
  <si>
    <t>Benomyl 50 PM</t>
  </si>
  <si>
    <t>Trigard 75 WP</t>
  </si>
  <si>
    <t>Arcos para túnel</t>
  </si>
  <si>
    <t>Abril-junio</t>
  </si>
  <si>
    <t>Nitrato de potasio</t>
  </si>
  <si>
    <t>Muriato de potasio</t>
  </si>
  <si>
    <t>Manto térmico (duración 2 temporadas)</t>
  </si>
  <si>
    <t>Plástico túnel (duración 2 temporadas)</t>
  </si>
  <si>
    <t>Cosecha: sacar y cargar bins a camión</t>
  </si>
  <si>
    <r>
      <t>Cosecha</t>
    </r>
    <r>
      <rPr>
        <vertAlign val="superscript"/>
        <sz val="14"/>
        <rFont val="Arial"/>
        <family val="2"/>
      </rPr>
      <t>(2)</t>
    </r>
  </si>
  <si>
    <t>Envolver guías (3 a 5 veces)</t>
  </si>
  <si>
    <t>(1) El precio de la sandía para temprano utilizado en el análisis de sensibilidad, corresponde al promedio de la región durante el periodo de cosecha en el predio en la temporada 2015/16, precio al productor.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</si>
  <si>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</si>
  <si>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(4) Las dosis y tipos de fertilizantes recomendados son sólo referenciales, deben definirse según un análisis específico del terreno.</t>
  </si>
  <si>
    <t>(6) Margen neto corresponde a ingresos totales (precio venta x rendimiento) menos los costos totales.</t>
  </si>
  <si>
    <t>(2) En promedio un bin lleva 80 unidades de sandía.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</si>
  <si>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</si>
  <si>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</si>
  <si>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</si>
  <si>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</si>
  <si>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(7)</t>
    </r>
  </si>
  <si>
    <t>(7) Representa el precio de venta mínimo para cubrir los costos totales de producción.</t>
  </si>
  <si>
    <t>(5) El costo financiero equivalente a una tasa de interés mensual simple de 1,5% por sobre el total de los costos directos por el total de meses de duración del cultivo.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</si>
</sst>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22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68" fillId="23" borderId="19" xfId="58" applyNumberFormat="1" applyFont="1" applyFill="1" applyBorder="1" applyAlignment="1" applyProtection="1">
      <alignment horizontal="center" vertical="center" wrapText="1"/>
      <protection/>
    </xf>
    <xf numFmtId="0" fontId="68" fillId="23" borderId="19" xfId="58" applyFont="1" applyFill="1" applyBorder="1" applyAlignment="1" applyProtection="1">
      <alignment horizontal="center" vertical="center" wrapText="1"/>
      <protection/>
    </xf>
    <xf numFmtId="3" fontId="68" fillId="23" borderId="19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21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10" fontId="8" fillId="34" borderId="11" xfId="71" applyNumberFormat="1" applyFont="1" applyFill="1" applyBorder="1" applyAlignment="1">
      <alignment horizontal="right"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70" fillId="34" borderId="19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21" xfId="58" applyNumberFormat="1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19" xfId="58" applyFont="1" applyFill="1" applyBorder="1" applyAlignment="1" applyProtection="1">
      <alignment/>
      <protection/>
    </xf>
    <xf numFmtId="0" fontId="10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8" fillId="34" borderId="17" xfId="0" applyNumberFormat="1" applyFont="1" applyFill="1" applyBorder="1" applyAlignment="1" applyProtection="1">
      <alignment/>
      <protection/>
    </xf>
    <xf numFmtId="0" fontId="65" fillId="34" borderId="14" xfId="0" applyFont="1" applyFill="1" applyBorder="1" applyAlignment="1" applyProtection="1">
      <alignment/>
      <protection/>
    </xf>
    <xf numFmtId="3" fontId="8" fillId="34" borderId="21" xfId="58" applyNumberFormat="1" applyFont="1" applyFill="1" applyBorder="1" applyAlignment="1" applyProtection="1">
      <alignment/>
      <protection/>
    </xf>
    <xf numFmtId="181" fontId="8" fillId="34" borderId="20" xfId="0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181" fontId="69" fillId="34" borderId="18" xfId="0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3" fontId="8" fillId="34" borderId="21" xfId="57" applyNumberFormat="1" applyFont="1" applyFill="1" applyBorder="1" applyAlignment="1" applyProtection="1">
      <alignment horizontal="right"/>
      <protection locked="0"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3" fontId="8" fillId="34" borderId="16" xfId="57" applyNumberFormat="1" applyFont="1" applyFill="1" applyBorder="1" applyAlignment="1" applyProtection="1">
      <alignment horizontal="right"/>
      <protection locked="0"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17" xfId="69" applyNumberFormat="1" applyFont="1" applyFill="1" applyBorder="1" applyAlignment="1" applyProtection="1">
      <alignment/>
      <protection locked="0"/>
    </xf>
    <xf numFmtId="180" fontId="10" fillId="34" borderId="20" xfId="69" applyFont="1" applyFill="1" applyBorder="1" applyAlignment="1" applyProtection="1">
      <alignment/>
      <protection locked="0"/>
    </xf>
    <xf numFmtId="180" fontId="10" fillId="34" borderId="18" xfId="69" applyFont="1" applyFill="1" applyBorder="1" applyAlignment="1" applyProtection="1">
      <alignment/>
      <protection locked="0"/>
    </xf>
    <xf numFmtId="181" fontId="10" fillId="34" borderId="22" xfId="58" applyNumberFormat="1" applyFont="1" applyFill="1" applyBorder="1" applyAlignment="1" applyProtection="1">
      <alignment horizontal="right"/>
      <protection locked="0"/>
    </xf>
    <xf numFmtId="0" fontId="10" fillId="34" borderId="22" xfId="58" applyFont="1" applyFill="1" applyBorder="1" applyAlignment="1" applyProtection="1">
      <alignment horizontal="right"/>
      <protection locked="0"/>
    </xf>
    <xf numFmtId="3" fontId="10" fillId="34" borderId="22" xfId="69" applyNumberFormat="1" applyFont="1" applyFill="1" applyBorder="1" applyAlignment="1" applyProtection="1">
      <alignment horizontal="right"/>
      <protection locked="0"/>
    </xf>
    <xf numFmtId="181" fontId="10" fillId="34" borderId="17" xfId="58" applyNumberFormat="1" applyFont="1" applyFill="1" applyBorder="1" applyAlignment="1" applyProtection="1">
      <alignment horizontal="right"/>
      <protection locked="0"/>
    </xf>
    <xf numFmtId="181" fontId="10" fillId="34" borderId="23" xfId="58" applyNumberFormat="1" applyFont="1" applyFill="1" applyBorder="1" applyAlignment="1" applyProtection="1">
      <alignment horizontal="right"/>
      <protection locked="0"/>
    </xf>
    <xf numFmtId="3" fontId="10" fillId="34" borderId="17" xfId="69" applyNumberFormat="1" applyFont="1" applyFill="1" applyBorder="1" applyAlignment="1" applyProtection="1">
      <alignment horizontal="right"/>
      <protection locked="0"/>
    </xf>
    <xf numFmtId="181" fontId="10" fillId="34" borderId="20" xfId="58" applyNumberFormat="1" applyFont="1" applyFill="1" applyBorder="1" applyAlignment="1" applyProtection="1">
      <alignment horizontal="right"/>
      <protection locked="0"/>
    </xf>
    <xf numFmtId="3" fontId="10" fillId="34" borderId="20" xfId="69" applyNumberFormat="1" applyFont="1" applyFill="1" applyBorder="1" applyAlignment="1" applyProtection="1">
      <alignment horizontal="right"/>
      <protection locked="0"/>
    </xf>
    <xf numFmtId="0" fontId="10" fillId="34" borderId="20" xfId="69" applyNumberFormat="1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181" fontId="10" fillId="34" borderId="11" xfId="69" applyNumberFormat="1" applyFont="1" applyFill="1" applyBorder="1" applyAlignment="1" applyProtection="1">
      <alignment horizontal="right"/>
      <protection locked="0"/>
    </xf>
    <xf numFmtId="180" fontId="10" fillId="34" borderId="22" xfId="69" applyFont="1" applyFill="1" applyBorder="1" applyAlignment="1" applyProtection="1">
      <alignment horizontal="right"/>
      <protection locked="0"/>
    </xf>
    <xf numFmtId="3" fontId="10" fillId="34" borderId="22" xfId="58" applyNumberFormat="1" applyFont="1" applyFill="1" applyBorder="1" applyAlignment="1" applyProtection="1">
      <alignment horizontal="right"/>
      <protection locked="0"/>
    </xf>
    <xf numFmtId="0" fontId="8" fillId="34" borderId="20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181" fontId="10" fillId="34" borderId="11" xfId="58" applyNumberFormat="1" applyFont="1" applyFill="1" applyBorder="1" applyAlignment="1" applyProtection="1">
      <alignment horizontal="right"/>
      <protection locked="0"/>
    </xf>
    <xf numFmtId="0" fontId="10" fillId="34" borderId="20" xfId="58" applyFont="1" applyFill="1" applyBorder="1" applyAlignment="1" applyProtection="1">
      <alignment/>
      <protection locked="0"/>
    </xf>
    <xf numFmtId="0" fontId="8" fillId="34" borderId="20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 horizontal="left"/>
      <protection locked="0"/>
    </xf>
    <xf numFmtId="180" fontId="10" fillId="34" borderId="20" xfId="69" applyFont="1" applyFill="1" applyBorder="1" applyAlignment="1" applyProtection="1">
      <alignment horizontal="left"/>
      <protection locked="0"/>
    </xf>
    <xf numFmtId="180" fontId="10" fillId="34" borderId="0" xfId="69" applyFont="1" applyFill="1" applyBorder="1" applyAlignment="1" applyProtection="1">
      <alignment horizontal="left"/>
      <protection locked="0"/>
    </xf>
    <xf numFmtId="181" fontId="10" fillId="34" borderId="22" xfId="69" applyNumberFormat="1" applyFont="1" applyFill="1" applyBorder="1" applyAlignment="1" applyProtection="1">
      <alignment horizontal="right"/>
      <protection locked="0"/>
    </xf>
    <xf numFmtId="180" fontId="10" fillId="34" borderId="11" xfId="69" applyFont="1" applyFill="1" applyBorder="1" applyAlignment="1" applyProtection="1">
      <alignment horizontal="right"/>
      <protection locked="0"/>
    </xf>
    <xf numFmtId="3" fontId="10" fillId="34" borderId="11" xfId="58" applyNumberFormat="1" applyFont="1" applyFill="1" applyBorder="1" applyAlignment="1" applyProtection="1">
      <alignment horizontal="right"/>
      <protection locked="0"/>
    </xf>
    <xf numFmtId="0" fontId="10" fillId="34" borderId="20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17" xfId="58" applyFont="1" applyFill="1" applyBorder="1" applyAlignment="1" applyProtection="1">
      <alignment horizontal="left"/>
      <protection locked="0"/>
    </xf>
    <xf numFmtId="0" fontId="10" fillId="34" borderId="14" xfId="58" applyFont="1" applyFill="1" applyBorder="1" applyAlignment="1" applyProtection="1">
      <alignment horizontal="left"/>
      <protection locked="0"/>
    </xf>
    <xf numFmtId="0" fontId="10" fillId="34" borderId="21" xfId="58" applyFont="1" applyFill="1" applyBorder="1" applyAlignment="1" applyProtection="1">
      <alignment horizontal="left"/>
      <protection locked="0"/>
    </xf>
    <xf numFmtId="0" fontId="10" fillId="34" borderId="20" xfId="69" applyNumberFormat="1" applyFont="1" applyFill="1" applyBorder="1" applyAlignment="1" applyProtection="1">
      <alignment horizontal="left"/>
      <protection locked="0"/>
    </xf>
    <xf numFmtId="0" fontId="10" fillId="34" borderId="0" xfId="69" applyNumberFormat="1" applyFont="1" applyFill="1" applyBorder="1" applyAlignment="1" applyProtection="1">
      <alignment horizontal="left"/>
      <protection locked="0"/>
    </xf>
    <xf numFmtId="3" fontId="10" fillId="34" borderId="0" xfId="69" applyNumberFormat="1" applyFont="1" applyFill="1" applyAlignment="1" applyProtection="1">
      <alignment horizontal="left"/>
      <protection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10" fillId="34" borderId="0" xfId="69" applyNumberFormat="1" applyFont="1" applyFill="1" applyAlignment="1" applyProtection="1">
      <alignment vertical="center"/>
      <protection/>
    </xf>
    <xf numFmtId="3" fontId="10" fillId="34" borderId="0" xfId="69" applyNumberFormat="1" applyFont="1" applyFill="1" applyAlignment="1" applyProtection="1">
      <alignment horizontal="right"/>
      <protection/>
    </xf>
    <xf numFmtId="3" fontId="13" fillId="34" borderId="2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20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3" fontId="13" fillId="0" borderId="2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3" fillId="34" borderId="20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0" fontId="13" fillId="34" borderId="18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0" fontId="10" fillId="34" borderId="20" xfId="58" applyFont="1" applyFill="1" applyBorder="1" applyAlignment="1" applyProtection="1">
      <alignment horizontal="center" vertical="center"/>
      <protection locked="0"/>
    </xf>
    <xf numFmtId="0" fontId="10" fillId="34" borderId="11" xfId="58" applyFont="1" applyFill="1" applyBorder="1" applyAlignment="1" applyProtection="1">
      <alignment horizontal="center" vertical="center"/>
      <protection locked="0"/>
    </xf>
    <xf numFmtId="0" fontId="10" fillId="34" borderId="18" xfId="58" applyFont="1" applyFill="1" applyBorder="1" applyAlignment="1" applyProtection="1">
      <alignment horizontal="center" vertical="center"/>
      <protection locked="0"/>
    </xf>
    <xf numFmtId="0" fontId="10" fillId="34" borderId="16" xfId="58" applyFont="1" applyFill="1" applyBorder="1" applyAlignment="1" applyProtection="1">
      <alignment horizontal="center" vertical="center"/>
      <protection locked="0"/>
    </xf>
    <xf numFmtId="3" fontId="13" fillId="0" borderId="17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4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21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17" xfId="58" applyFont="1" applyFill="1" applyBorder="1" applyAlignment="1" applyProtection="1">
      <alignment horizontal="center" vertical="center"/>
      <protection locked="0"/>
    </xf>
    <xf numFmtId="0" fontId="10" fillId="34" borderId="21" xfId="58" applyFont="1" applyFill="1" applyBorder="1" applyAlignment="1" applyProtection="1">
      <alignment horizontal="center" vertical="center"/>
      <protection locked="0"/>
    </xf>
    <xf numFmtId="0" fontId="67" fillId="23" borderId="25" xfId="58" applyFont="1" applyFill="1" applyBorder="1" applyAlignment="1" applyProtection="1">
      <alignment horizontal="left"/>
      <protection/>
    </xf>
    <xf numFmtId="0" fontId="67" fillId="23" borderId="19" xfId="58" applyFont="1" applyFill="1" applyBorder="1" applyAlignment="1" applyProtection="1">
      <alignment horizontal="left"/>
      <protection/>
    </xf>
    <xf numFmtId="0" fontId="68" fillId="23" borderId="19" xfId="58" applyFont="1" applyFill="1" applyBorder="1" applyAlignment="1" applyProtection="1">
      <alignment horizontal="center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9" xfId="58" applyFont="1" applyFill="1" applyBorder="1" applyAlignment="1" applyProtection="1">
      <alignment horizontal="left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0" fontId="67" fillId="40" borderId="17" xfId="57" applyFont="1" applyFill="1" applyBorder="1" applyAlignment="1">
      <alignment horizontal="center"/>
      <protection/>
    </xf>
    <xf numFmtId="0" fontId="67" fillId="40" borderId="14" xfId="57" applyFont="1" applyFill="1" applyBorder="1" applyAlignment="1">
      <alignment horizontal="center"/>
      <protection/>
    </xf>
    <xf numFmtId="0" fontId="67" fillId="40" borderId="21" xfId="57" applyFont="1" applyFill="1" applyBorder="1" applyAlignment="1">
      <alignment horizontal="center"/>
      <protection/>
    </xf>
    <xf numFmtId="0" fontId="67" fillId="40" borderId="25" xfId="57" applyFont="1" applyFill="1" applyBorder="1" applyAlignment="1">
      <alignment horizontal="center"/>
      <protection/>
    </xf>
    <xf numFmtId="0" fontId="67" fillId="40" borderId="19" xfId="57" applyFont="1" applyFill="1" applyBorder="1" applyAlignment="1">
      <alignment horizontal="center"/>
      <protection/>
    </xf>
    <xf numFmtId="0" fontId="67" fillId="40" borderId="15" xfId="57" applyFont="1" applyFill="1" applyBorder="1" applyAlignment="1">
      <alignment horizont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17" fontId="67" fillId="40" borderId="25" xfId="69" applyNumberFormat="1" applyFont="1" applyFill="1" applyBorder="1" applyAlignment="1" applyProtection="1">
      <alignment horizontal="center"/>
      <protection/>
    </xf>
    <xf numFmtId="17" fontId="67" fillId="40" borderId="19" xfId="69" applyNumberFormat="1" applyFont="1" applyFill="1" applyBorder="1" applyAlignment="1" applyProtection="1">
      <alignment horizontal="center"/>
      <protection/>
    </xf>
    <xf numFmtId="17" fontId="67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67" fillId="41" borderId="17" xfId="0" applyFont="1" applyFill="1" applyBorder="1" applyAlignment="1">
      <alignment horizontal="center"/>
    </xf>
    <xf numFmtId="0" fontId="67" fillId="41" borderId="14" xfId="0" applyFont="1" applyFill="1" applyBorder="1" applyAlignment="1">
      <alignment horizontal="center"/>
    </xf>
    <xf numFmtId="0" fontId="67" fillId="41" borderId="21" xfId="0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0" fontId="67" fillId="41" borderId="18" xfId="0" applyFont="1" applyFill="1" applyBorder="1" applyAlignment="1">
      <alignment horizontal="center"/>
    </xf>
    <xf numFmtId="0" fontId="67" fillId="41" borderId="13" xfId="0" applyFont="1" applyFill="1" applyBorder="1" applyAlignment="1">
      <alignment horizontal="center"/>
    </xf>
    <xf numFmtId="0" fontId="67" fillId="41" borderId="16" xfId="0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180" fontId="68" fillId="0" borderId="0" xfId="69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19" xfId="0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21" xfId="58" applyNumberFormat="1" applyFont="1" applyFill="1" applyBorder="1" applyAlignment="1">
      <alignment horizontal="left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67" fillId="41" borderId="17" xfId="0" applyFont="1" applyFill="1" applyBorder="1" applyAlignment="1">
      <alignment horizontal="center" vertical="center"/>
    </xf>
    <xf numFmtId="0" fontId="67" fillId="41" borderId="14" xfId="0" applyFont="1" applyFill="1" applyBorder="1" applyAlignment="1">
      <alignment horizontal="center" vertical="center"/>
    </xf>
    <xf numFmtId="0" fontId="67" fillId="41" borderId="21" xfId="0" applyFont="1" applyFill="1" applyBorder="1" applyAlignment="1">
      <alignment horizontal="center" vertical="center"/>
    </xf>
    <xf numFmtId="0" fontId="67" fillId="41" borderId="18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67" fillId="41" borderId="16" xfId="0" applyFont="1" applyFill="1" applyBorder="1" applyAlignment="1">
      <alignment horizontal="center" vertical="center"/>
    </xf>
    <xf numFmtId="3" fontId="8" fillId="36" borderId="21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68" fillId="23" borderId="25" xfId="58" applyFont="1" applyFill="1" applyBorder="1" applyAlignment="1" applyProtection="1">
      <alignment horizontal="center" vertical="center"/>
      <protection/>
    </xf>
    <xf numFmtId="3" fontId="8" fillId="38" borderId="21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19" xfId="58" applyFont="1" applyFill="1" applyBorder="1" applyAlignment="1" applyProtection="1">
      <alignment horizontal="left"/>
      <protection/>
    </xf>
    <xf numFmtId="0" fontId="10" fillId="34" borderId="12" xfId="58" applyFont="1" applyFill="1" applyBorder="1" applyAlignment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116</xdr:row>
      <xdr:rowOff>47625</xdr:rowOff>
    </xdr:from>
    <xdr:to>
      <xdr:col>2</xdr:col>
      <xdr:colOff>723900</xdr:colOff>
      <xdr:row>116</xdr:row>
      <xdr:rowOff>161925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270986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0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212" customWidth="1"/>
  </cols>
  <sheetData>
    <row r="1" spans="2:10" ht="15">
      <c r="B1" s="3"/>
      <c r="C1" s="3"/>
      <c r="D1" s="3"/>
      <c r="E1" s="3"/>
      <c r="F1" s="3"/>
      <c r="G1" s="8"/>
      <c r="H1" s="3"/>
      <c r="I1" s="3"/>
      <c r="J1" s="3"/>
    </row>
    <row r="2" spans="2:11" ht="18" customHeight="1">
      <c r="B2" s="245" t="s">
        <v>8</v>
      </c>
      <c r="C2" s="245"/>
      <c r="D2" s="245"/>
      <c r="E2" s="245"/>
      <c r="F2" s="245"/>
      <c r="G2" s="245"/>
      <c r="H2" s="245"/>
      <c r="I2" s="245"/>
      <c r="J2" s="245"/>
      <c r="K2" s="213"/>
    </row>
    <row r="3" spans="2:11" ht="18" customHeight="1">
      <c r="B3" s="81"/>
      <c r="C3" s="99"/>
      <c r="D3" s="252" t="s">
        <v>123</v>
      </c>
      <c r="E3" s="252"/>
      <c r="F3" s="252"/>
      <c r="G3" s="252"/>
      <c r="H3" s="252"/>
      <c r="I3" s="100"/>
      <c r="J3" s="99"/>
      <c r="K3" s="214"/>
    </row>
    <row r="4" spans="2:11" ht="18" customHeight="1">
      <c r="B4" s="81"/>
      <c r="C4" s="99"/>
      <c r="D4" s="252" t="s">
        <v>124</v>
      </c>
      <c r="E4" s="252"/>
      <c r="F4" s="252"/>
      <c r="G4" s="252"/>
      <c r="H4" s="252"/>
      <c r="I4" s="99"/>
      <c r="J4" s="99"/>
      <c r="K4" s="214"/>
    </row>
    <row r="5" spans="2:11" ht="18" customHeight="1">
      <c r="B5" s="39"/>
      <c r="C5" s="39"/>
      <c r="D5" s="101"/>
      <c r="E5" s="41"/>
      <c r="F5" s="41"/>
      <c r="G5" s="89"/>
      <c r="H5" s="41"/>
      <c r="I5" s="39"/>
      <c r="J5" s="102"/>
      <c r="K5" s="215"/>
    </row>
    <row r="6" spans="2:11" ht="18" customHeight="1">
      <c r="B6" s="39"/>
      <c r="C6" s="39"/>
      <c r="D6" s="253" t="s">
        <v>50</v>
      </c>
      <c r="E6" s="254"/>
      <c r="F6" s="254"/>
      <c r="G6" s="254"/>
      <c r="H6" s="254"/>
      <c r="I6" s="254"/>
      <c r="J6" s="255"/>
      <c r="K6" s="215"/>
    </row>
    <row r="7" spans="2:11" ht="18" customHeight="1">
      <c r="B7" s="39"/>
      <c r="C7" s="39"/>
      <c r="D7" s="170" t="s">
        <v>125</v>
      </c>
      <c r="E7" s="79"/>
      <c r="F7" s="79"/>
      <c r="G7" s="167" t="s">
        <v>79</v>
      </c>
      <c r="H7" s="112"/>
      <c r="I7" s="113"/>
      <c r="J7" s="114"/>
      <c r="K7" s="215"/>
    </row>
    <row r="8" spans="2:11" ht="18" customHeight="1">
      <c r="B8" s="39"/>
      <c r="C8" s="39"/>
      <c r="D8" s="171" t="s">
        <v>126</v>
      </c>
      <c r="E8" s="80"/>
      <c r="F8" s="80"/>
      <c r="G8" s="168" t="s">
        <v>45</v>
      </c>
      <c r="H8" s="81"/>
      <c r="I8" s="82"/>
      <c r="J8" s="115"/>
      <c r="K8" s="215"/>
    </row>
    <row r="9" spans="2:11" ht="18" customHeight="1">
      <c r="B9" s="39"/>
      <c r="C9" s="39"/>
      <c r="D9" s="171" t="s">
        <v>127</v>
      </c>
      <c r="E9" s="80"/>
      <c r="F9" s="80"/>
      <c r="G9" s="168" t="s">
        <v>46</v>
      </c>
      <c r="H9" s="81"/>
      <c r="I9" s="82"/>
      <c r="J9" s="115"/>
      <c r="K9" s="16"/>
    </row>
    <row r="10" spans="2:11" ht="18" customHeight="1">
      <c r="B10" s="39"/>
      <c r="C10" s="39"/>
      <c r="D10" s="172" t="s">
        <v>128</v>
      </c>
      <c r="E10" s="116"/>
      <c r="F10" s="116"/>
      <c r="G10" s="169" t="s">
        <v>129</v>
      </c>
      <c r="H10" s="117"/>
      <c r="I10" s="118"/>
      <c r="J10" s="119"/>
      <c r="K10" s="16"/>
    </row>
    <row r="11" spans="2:11" ht="18" customHeight="1">
      <c r="B11" s="39"/>
      <c r="C11" s="39"/>
      <c r="D11" s="23"/>
      <c r="E11" s="80"/>
      <c r="F11" s="80"/>
      <c r="G11" s="23"/>
      <c r="H11" s="81"/>
      <c r="I11" s="82"/>
      <c r="J11" s="109"/>
      <c r="K11" s="16"/>
    </row>
    <row r="12" spans="2:11" ht="18">
      <c r="B12" s="246" t="s">
        <v>51</v>
      </c>
      <c r="C12" s="247"/>
      <c r="D12" s="247"/>
      <c r="E12" s="248"/>
      <c r="F12" s="38"/>
      <c r="G12" s="249" t="s">
        <v>14</v>
      </c>
      <c r="H12" s="250"/>
      <c r="I12" s="250"/>
      <c r="J12" s="251"/>
      <c r="K12" s="215"/>
    </row>
    <row r="13" spans="2:11" ht="18">
      <c r="B13" s="91" t="s">
        <v>58</v>
      </c>
      <c r="C13" s="92"/>
      <c r="D13" s="79"/>
      <c r="E13" s="164">
        <v>10000</v>
      </c>
      <c r="F13" s="39"/>
      <c r="G13" s="153" t="s">
        <v>7</v>
      </c>
      <c r="H13" s="154"/>
      <c r="I13" s="154"/>
      <c r="J13" s="155">
        <f>rendimiento*precio_de_venta</f>
        <v>9000000</v>
      </c>
      <c r="K13" s="215"/>
    </row>
    <row r="14" spans="2:11" ht="21">
      <c r="B14" s="257" t="s">
        <v>66</v>
      </c>
      <c r="C14" s="258"/>
      <c r="D14" s="258"/>
      <c r="E14" s="165">
        <v>900</v>
      </c>
      <c r="F14" s="39"/>
      <c r="G14" s="156" t="s">
        <v>10</v>
      </c>
      <c r="H14" s="157"/>
      <c r="I14" s="157"/>
      <c r="J14" s="158">
        <f>total_mano_obra+total_maquinaria+total_insumos+imprevistos</f>
        <v>5487582.45</v>
      </c>
      <c r="K14" s="215"/>
    </row>
    <row r="15" spans="2:11" ht="18">
      <c r="B15" s="111" t="s">
        <v>9</v>
      </c>
      <c r="C15" s="40"/>
      <c r="D15" s="39"/>
      <c r="E15" s="165">
        <v>13000</v>
      </c>
      <c r="F15" s="39"/>
      <c r="G15" s="156" t="s">
        <v>11</v>
      </c>
      <c r="H15" s="159"/>
      <c r="I15" s="157"/>
      <c r="J15" s="158">
        <f>total_mano_obra+total_maquinaria+total_insumos+imprevistos+total_costos_indirectos</f>
        <v>5722764.555000001</v>
      </c>
      <c r="K15" s="215"/>
    </row>
    <row r="16" spans="2:11" ht="18">
      <c r="B16" s="111" t="s">
        <v>4</v>
      </c>
      <c r="C16" s="42"/>
      <c r="D16" s="39"/>
      <c r="E16" s="120">
        <v>0.015</v>
      </c>
      <c r="F16" s="39"/>
      <c r="G16" s="156" t="s">
        <v>12</v>
      </c>
      <c r="H16" s="157"/>
      <c r="I16" s="157"/>
      <c r="J16" s="158">
        <f>J13-J14</f>
        <v>3512417.55</v>
      </c>
      <c r="K16" s="215"/>
    </row>
    <row r="17" spans="2:11" ht="18">
      <c r="B17" s="93" t="s">
        <v>5</v>
      </c>
      <c r="C17" s="94"/>
      <c r="D17" s="83"/>
      <c r="E17" s="166">
        <v>6</v>
      </c>
      <c r="F17" s="39"/>
      <c r="G17" s="156" t="s">
        <v>13</v>
      </c>
      <c r="H17" s="157"/>
      <c r="I17" s="157"/>
      <c r="J17" s="158">
        <f>J13-J15</f>
        <v>3277235.4449999994</v>
      </c>
      <c r="K17" s="215"/>
    </row>
    <row r="18" spans="2:11" ht="18">
      <c r="B18" s="121"/>
      <c r="C18" s="42"/>
      <c r="D18" s="39"/>
      <c r="E18" s="122"/>
      <c r="F18" s="39"/>
      <c r="G18" s="160" t="s">
        <v>47</v>
      </c>
      <c r="H18" s="161"/>
      <c r="I18" s="162"/>
      <c r="J18" s="163">
        <f>total_costos/rendimiento</f>
        <v>572.2764555000001</v>
      </c>
      <c r="K18" s="215"/>
    </row>
    <row r="19" spans="2:11" ht="18">
      <c r="B19" s="39"/>
      <c r="C19" s="39"/>
      <c r="D19" s="39"/>
      <c r="E19" s="17"/>
      <c r="F19" s="17"/>
      <c r="G19" s="18"/>
      <c r="H19" s="19"/>
      <c r="I19" s="20"/>
      <c r="J19" s="20"/>
      <c r="K19" s="215"/>
    </row>
    <row r="20" spans="2:11" ht="20.25">
      <c r="B20" s="104" t="s">
        <v>48</v>
      </c>
      <c r="C20" s="103"/>
      <c r="D20" s="103"/>
      <c r="E20" s="256" t="s">
        <v>15</v>
      </c>
      <c r="F20" s="256"/>
      <c r="G20" s="123" t="s">
        <v>16</v>
      </c>
      <c r="H20" s="124" t="s">
        <v>17</v>
      </c>
      <c r="I20" s="125" t="s">
        <v>55</v>
      </c>
      <c r="J20" s="126" t="s">
        <v>3</v>
      </c>
      <c r="K20" s="215"/>
    </row>
    <row r="21" spans="2:11" ht="18">
      <c r="B21" s="240" t="s">
        <v>19</v>
      </c>
      <c r="C21" s="241"/>
      <c r="D21" s="241"/>
      <c r="E21" s="242"/>
      <c r="F21" s="242"/>
      <c r="G21" s="95"/>
      <c r="H21" s="96"/>
      <c r="I21" s="97"/>
      <c r="J21" s="98"/>
      <c r="K21" s="215"/>
    </row>
    <row r="22" spans="2:11" ht="18">
      <c r="B22" s="206" t="s">
        <v>80</v>
      </c>
      <c r="C22" s="207"/>
      <c r="D22" s="208"/>
      <c r="E22" s="238" t="s">
        <v>81</v>
      </c>
      <c r="F22" s="239"/>
      <c r="G22" s="173">
        <v>9</v>
      </c>
      <c r="H22" s="174" t="s">
        <v>6</v>
      </c>
      <c r="I22" s="175">
        <f>$E$15</f>
        <v>13000</v>
      </c>
      <c r="J22" s="128">
        <f>G22*I22</f>
        <v>117000</v>
      </c>
      <c r="K22" s="215"/>
    </row>
    <row r="23" spans="2:11" ht="18">
      <c r="B23" s="203" t="s">
        <v>82</v>
      </c>
      <c r="C23" s="204"/>
      <c r="D23" s="205"/>
      <c r="E23" s="231" t="s">
        <v>83</v>
      </c>
      <c r="F23" s="232"/>
      <c r="G23" s="173">
        <v>10</v>
      </c>
      <c r="H23" s="174" t="s">
        <v>6</v>
      </c>
      <c r="I23" s="175">
        <f>$E$15</f>
        <v>13000</v>
      </c>
      <c r="J23" s="128">
        <f aca="true" t="shared" si="0" ref="J23:J33">G23*I23</f>
        <v>130000</v>
      </c>
      <c r="K23" s="215"/>
    </row>
    <row r="24" spans="2:11" ht="18">
      <c r="B24" s="203" t="s">
        <v>84</v>
      </c>
      <c r="C24" s="204"/>
      <c r="D24" s="205"/>
      <c r="E24" s="231" t="s">
        <v>85</v>
      </c>
      <c r="F24" s="232"/>
      <c r="G24" s="173">
        <v>8</v>
      </c>
      <c r="H24" s="174" t="s">
        <v>6</v>
      </c>
      <c r="I24" s="175">
        <f aca="true" t="shared" si="1" ref="I24:I31">$E$15</f>
        <v>13000</v>
      </c>
      <c r="J24" s="128">
        <f t="shared" si="0"/>
        <v>104000</v>
      </c>
      <c r="K24" s="215"/>
    </row>
    <row r="25" spans="2:11" ht="18">
      <c r="B25" s="203" t="s">
        <v>86</v>
      </c>
      <c r="C25" s="204"/>
      <c r="D25" s="205"/>
      <c r="E25" s="231" t="s">
        <v>85</v>
      </c>
      <c r="F25" s="232"/>
      <c r="G25" s="173">
        <v>7</v>
      </c>
      <c r="H25" s="174" t="s">
        <v>6</v>
      </c>
      <c r="I25" s="175">
        <f t="shared" si="1"/>
        <v>13000</v>
      </c>
      <c r="J25" s="128">
        <f t="shared" si="0"/>
        <v>91000</v>
      </c>
      <c r="K25" s="215"/>
    </row>
    <row r="26" spans="2:11" ht="18">
      <c r="B26" s="203" t="s">
        <v>87</v>
      </c>
      <c r="C26" s="204"/>
      <c r="D26" s="205"/>
      <c r="E26" s="231" t="s">
        <v>88</v>
      </c>
      <c r="F26" s="232"/>
      <c r="G26" s="173">
        <v>7</v>
      </c>
      <c r="H26" s="174" t="s">
        <v>6</v>
      </c>
      <c r="I26" s="175">
        <f t="shared" si="1"/>
        <v>13000</v>
      </c>
      <c r="J26" s="128">
        <f t="shared" si="0"/>
        <v>91000</v>
      </c>
      <c r="K26" s="215"/>
    </row>
    <row r="27" spans="2:11" ht="18">
      <c r="B27" s="203" t="s">
        <v>89</v>
      </c>
      <c r="C27" s="204"/>
      <c r="D27" s="205"/>
      <c r="E27" s="231" t="s">
        <v>90</v>
      </c>
      <c r="F27" s="232"/>
      <c r="G27" s="173">
        <v>8</v>
      </c>
      <c r="H27" s="174" t="s">
        <v>6</v>
      </c>
      <c r="I27" s="175">
        <f t="shared" si="1"/>
        <v>13000</v>
      </c>
      <c r="J27" s="128">
        <f t="shared" si="0"/>
        <v>104000</v>
      </c>
      <c r="K27" s="215"/>
    </row>
    <row r="28" spans="2:11" ht="18">
      <c r="B28" s="203" t="s">
        <v>91</v>
      </c>
      <c r="C28" s="204"/>
      <c r="D28" s="205"/>
      <c r="E28" s="231" t="s">
        <v>92</v>
      </c>
      <c r="F28" s="232"/>
      <c r="G28" s="173">
        <v>7</v>
      </c>
      <c r="H28" s="174" t="s">
        <v>6</v>
      </c>
      <c r="I28" s="175">
        <f t="shared" si="1"/>
        <v>13000</v>
      </c>
      <c r="J28" s="128">
        <f t="shared" si="0"/>
        <v>91000</v>
      </c>
      <c r="K28" s="215"/>
    </row>
    <row r="29" spans="2:11" ht="18">
      <c r="B29" s="203" t="s">
        <v>93</v>
      </c>
      <c r="C29" s="204"/>
      <c r="D29" s="205"/>
      <c r="E29" s="231" t="s">
        <v>94</v>
      </c>
      <c r="F29" s="232"/>
      <c r="G29" s="173">
        <v>3</v>
      </c>
      <c r="H29" s="174" t="s">
        <v>6</v>
      </c>
      <c r="I29" s="175">
        <f t="shared" si="1"/>
        <v>13000</v>
      </c>
      <c r="J29" s="128">
        <f t="shared" si="0"/>
        <v>39000</v>
      </c>
      <c r="K29" s="215"/>
    </row>
    <row r="30" spans="2:11" ht="18">
      <c r="B30" s="203" t="s">
        <v>142</v>
      </c>
      <c r="C30" s="204"/>
      <c r="D30" s="205"/>
      <c r="E30" s="231" t="s">
        <v>95</v>
      </c>
      <c r="F30" s="232"/>
      <c r="G30" s="173">
        <v>3</v>
      </c>
      <c r="H30" s="174" t="s">
        <v>6</v>
      </c>
      <c r="I30" s="175">
        <f t="shared" si="1"/>
        <v>13000</v>
      </c>
      <c r="J30" s="128">
        <f t="shared" si="0"/>
        <v>39000</v>
      </c>
      <c r="K30" s="215"/>
    </row>
    <row r="31" spans="2:11" ht="18">
      <c r="B31" s="203" t="s">
        <v>96</v>
      </c>
      <c r="C31" s="204"/>
      <c r="D31" s="205"/>
      <c r="E31" s="231" t="s">
        <v>97</v>
      </c>
      <c r="F31" s="232"/>
      <c r="G31" s="173">
        <v>3</v>
      </c>
      <c r="H31" s="174" t="s">
        <v>6</v>
      </c>
      <c r="I31" s="175">
        <f t="shared" si="1"/>
        <v>13000</v>
      </c>
      <c r="J31" s="128">
        <f t="shared" si="0"/>
        <v>39000</v>
      </c>
      <c r="K31" s="215"/>
    </row>
    <row r="32" spans="2:11" ht="18">
      <c r="B32" s="203" t="s">
        <v>98</v>
      </c>
      <c r="C32" s="204"/>
      <c r="D32" s="205"/>
      <c r="E32" s="231" t="s">
        <v>99</v>
      </c>
      <c r="F32" s="232"/>
      <c r="G32" s="173">
        <f>ROUNDUP(rdto_variable!$C$2*rdto_variable!E5,0)</f>
        <v>125</v>
      </c>
      <c r="H32" s="174" t="s">
        <v>101</v>
      </c>
      <c r="I32" s="175">
        <v>1300</v>
      </c>
      <c r="J32" s="128">
        <f t="shared" si="0"/>
        <v>162500</v>
      </c>
      <c r="K32" s="215"/>
    </row>
    <row r="33" spans="2:11" ht="21">
      <c r="B33" s="203" t="s">
        <v>141</v>
      </c>
      <c r="C33" s="204"/>
      <c r="D33" s="205"/>
      <c r="E33" s="233" t="s">
        <v>99</v>
      </c>
      <c r="F33" s="234"/>
      <c r="G33" s="173">
        <f>ROUNDUP(rdto_variable!$C$2*rdto_variable!E6,0)</f>
        <v>125</v>
      </c>
      <c r="H33" s="174" t="s">
        <v>101</v>
      </c>
      <c r="I33" s="175">
        <v>6000</v>
      </c>
      <c r="J33" s="128">
        <f t="shared" si="0"/>
        <v>750000</v>
      </c>
      <c r="K33" s="215"/>
    </row>
    <row r="34" spans="2:11" ht="18">
      <c r="B34" s="243" t="s">
        <v>20</v>
      </c>
      <c r="C34" s="244"/>
      <c r="D34" s="244"/>
      <c r="E34" s="244"/>
      <c r="F34" s="244"/>
      <c r="G34" s="244"/>
      <c r="H34" s="244"/>
      <c r="I34" s="244"/>
      <c r="J34" s="84">
        <f>SUM(J22:J33)</f>
        <v>1757500</v>
      </c>
      <c r="K34" s="215"/>
    </row>
    <row r="35" spans="2:11" ht="18">
      <c r="B35" s="17"/>
      <c r="C35" s="17"/>
      <c r="D35" s="17"/>
      <c r="E35" s="17"/>
      <c r="F35" s="17"/>
      <c r="G35" s="131"/>
      <c r="H35" s="17"/>
      <c r="I35" s="17"/>
      <c r="J35" s="132"/>
      <c r="K35" s="215"/>
    </row>
    <row r="36" spans="1:11" ht="18">
      <c r="A36" s="25"/>
      <c r="B36" s="240" t="s">
        <v>21</v>
      </c>
      <c r="C36" s="241"/>
      <c r="D36" s="241"/>
      <c r="E36" s="242"/>
      <c r="F36" s="242"/>
      <c r="G36" s="95"/>
      <c r="H36" s="96"/>
      <c r="I36" s="97"/>
      <c r="J36" s="139"/>
      <c r="K36" s="215"/>
    </row>
    <row r="37" spans="2:11" ht="18">
      <c r="B37" s="206" t="s">
        <v>102</v>
      </c>
      <c r="C37" s="207"/>
      <c r="D37" s="208"/>
      <c r="E37" s="238" t="s">
        <v>103</v>
      </c>
      <c r="F37" s="239"/>
      <c r="G37" s="176">
        <v>1</v>
      </c>
      <c r="H37" s="177" t="s">
        <v>56</v>
      </c>
      <c r="I37" s="178">
        <v>70000</v>
      </c>
      <c r="J37" s="129">
        <f aca="true" t="shared" si="2" ref="J37:J43">G37*I37</f>
        <v>70000</v>
      </c>
      <c r="K37" s="215"/>
    </row>
    <row r="38" spans="2:11" ht="18">
      <c r="B38" s="203" t="s">
        <v>104</v>
      </c>
      <c r="C38" s="204"/>
      <c r="D38" s="205"/>
      <c r="E38" s="231" t="s">
        <v>83</v>
      </c>
      <c r="F38" s="232"/>
      <c r="G38" s="179">
        <v>3</v>
      </c>
      <c r="H38" s="173" t="s">
        <v>56</v>
      </c>
      <c r="I38" s="180">
        <v>30000</v>
      </c>
      <c r="J38" s="127">
        <f t="shared" si="2"/>
        <v>90000</v>
      </c>
      <c r="K38" s="215"/>
    </row>
    <row r="39" spans="2:11" ht="18">
      <c r="B39" s="203" t="s">
        <v>105</v>
      </c>
      <c r="C39" s="204"/>
      <c r="D39" s="205"/>
      <c r="E39" s="231" t="s">
        <v>83</v>
      </c>
      <c r="F39" s="232"/>
      <c r="G39" s="179">
        <v>1</v>
      </c>
      <c r="H39" s="173" t="s">
        <v>56</v>
      </c>
      <c r="I39" s="180">
        <v>50000</v>
      </c>
      <c r="J39" s="127">
        <f t="shared" si="2"/>
        <v>50000</v>
      </c>
      <c r="K39" s="215"/>
    </row>
    <row r="40" spans="2:11" ht="18">
      <c r="B40" s="203" t="s">
        <v>106</v>
      </c>
      <c r="C40" s="204"/>
      <c r="D40" s="205"/>
      <c r="E40" s="231" t="s">
        <v>85</v>
      </c>
      <c r="F40" s="232"/>
      <c r="G40" s="179">
        <v>2</v>
      </c>
      <c r="H40" s="173" t="s">
        <v>56</v>
      </c>
      <c r="I40" s="180">
        <v>6000</v>
      </c>
      <c r="J40" s="127">
        <f t="shared" si="2"/>
        <v>12000</v>
      </c>
      <c r="K40" s="215"/>
    </row>
    <row r="41" spans="2:11" ht="18">
      <c r="B41" s="203" t="s">
        <v>130</v>
      </c>
      <c r="C41" s="204"/>
      <c r="D41" s="205"/>
      <c r="E41" s="231" t="s">
        <v>107</v>
      </c>
      <c r="F41" s="232"/>
      <c r="G41" s="179">
        <v>2</v>
      </c>
      <c r="H41" s="173" t="s">
        <v>56</v>
      </c>
      <c r="I41" s="180">
        <v>25000</v>
      </c>
      <c r="J41" s="127">
        <f t="shared" si="2"/>
        <v>50000</v>
      </c>
      <c r="K41" s="215"/>
    </row>
    <row r="42" spans="2:11" ht="18">
      <c r="B42" s="203" t="s">
        <v>108</v>
      </c>
      <c r="C42" s="204"/>
      <c r="D42" s="205"/>
      <c r="E42" s="231" t="s">
        <v>97</v>
      </c>
      <c r="F42" s="232"/>
      <c r="G42" s="179">
        <v>1</v>
      </c>
      <c r="H42" s="173" t="s">
        <v>56</v>
      </c>
      <c r="I42" s="180">
        <v>70000</v>
      </c>
      <c r="J42" s="127">
        <f t="shared" si="2"/>
        <v>70000</v>
      </c>
      <c r="K42" s="215"/>
    </row>
    <row r="43" spans="2:11" ht="18">
      <c r="B43" s="203" t="s">
        <v>140</v>
      </c>
      <c r="C43" s="204"/>
      <c r="D43" s="205"/>
      <c r="E43" s="233" t="s">
        <v>99</v>
      </c>
      <c r="F43" s="234"/>
      <c r="G43" s="179">
        <f>ROUNDUP(rdto_variable!$C$2*rdto_variable!E8,0)</f>
        <v>125</v>
      </c>
      <c r="H43" s="173" t="s">
        <v>101</v>
      </c>
      <c r="I43" s="180">
        <v>2000</v>
      </c>
      <c r="J43" s="130">
        <f t="shared" si="2"/>
        <v>250000</v>
      </c>
      <c r="K43" s="215"/>
    </row>
    <row r="44" spans="2:11" ht="18">
      <c r="B44" s="243" t="s">
        <v>22</v>
      </c>
      <c r="C44" s="244"/>
      <c r="D44" s="244"/>
      <c r="E44" s="244"/>
      <c r="F44" s="244"/>
      <c r="G44" s="244"/>
      <c r="H44" s="244"/>
      <c r="I44" s="244"/>
      <c r="J44" s="105">
        <f>SUM(J37:J43)</f>
        <v>592000</v>
      </c>
      <c r="K44" s="215"/>
    </row>
    <row r="45" spans="2:11" ht="18">
      <c r="B45" s="77"/>
      <c r="C45" s="77"/>
      <c r="D45" s="77"/>
      <c r="E45" s="77"/>
      <c r="F45" s="77"/>
      <c r="G45" s="22" t="s">
        <v>57</v>
      </c>
      <c r="H45" s="77"/>
      <c r="I45" s="77"/>
      <c r="J45" s="24"/>
      <c r="K45" s="215"/>
    </row>
    <row r="46" spans="2:11" ht="21">
      <c r="B46" s="240" t="s">
        <v>148</v>
      </c>
      <c r="C46" s="241"/>
      <c r="D46" s="241"/>
      <c r="E46" s="242"/>
      <c r="F46" s="242"/>
      <c r="G46" s="95"/>
      <c r="H46" s="96"/>
      <c r="I46" s="97"/>
      <c r="J46" s="98"/>
      <c r="K46" s="215"/>
    </row>
    <row r="47" spans="2:11" ht="18">
      <c r="B47" s="181" t="s">
        <v>62</v>
      </c>
      <c r="C47" s="182"/>
      <c r="D47" s="183"/>
      <c r="E47" s="238" t="s">
        <v>83</v>
      </c>
      <c r="F47" s="239"/>
      <c r="G47" s="184">
        <v>10000</v>
      </c>
      <c r="H47" s="185" t="s">
        <v>109</v>
      </c>
      <c r="I47" s="186">
        <v>100</v>
      </c>
      <c r="J47" s="11">
        <f>G47*I47</f>
        <v>1000000</v>
      </c>
      <c r="K47" s="215"/>
    </row>
    <row r="48" spans="2:11" ht="18">
      <c r="B48" s="187" t="s">
        <v>131</v>
      </c>
      <c r="C48" s="182"/>
      <c r="D48" s="183"/>
      <c r="E48" s="231"/>
      <c r="F48" s="232"/>
      <c r="G48" s="184"/>
      <c r="H48" s="185"/>
      <c r="I48" s="186"/>
      <c r="J48" s="11"/>
      <c r="K48" s="215"/>
    </row>
    <row r="49" spans="2:11" ht="18">
      <c r="B49" s="187" t="s">
        <v>41</v>
      </c>
      <c r="C49" s="182"/>
      <c r="D49" s="183"/>
      <c r="E49" s="231"/>
      <c r="F49" s="232"/>
      <c r="G49" s="184"/>
      <c r="H49" s="185"/>
      <c r="I49" s="186"/>
      <c r="J49" s="11"/>
      <c r="K49" s="215"/>
    </row>
    <row r="50" spans="2:11" ht="18">
      <c r="B50" s="181" t="s">
        <v>110</v>
      </c>
      <c r="C50" s="190"/>
      <c r="D50" s="191"/>
      <c r="E50" s="231" t="s">
        <v>85</v>
      </c>
      <c r="F50" s="232"/>
      <c r="G50" s="192">
        <v>500</v>
      </c>
      <c r="H50" s="174" t="s">
        <v>44</v>
      </c>
      <c r="I50" s="186">
        <v>368</v>
      </c>
      <c r="J50" s="11">
        <f>G50*I50</f>
        <v>184000</v>
      </c>
      <c r="K50" s="215"/>
    </row>
    <row r="51" spans="2:11" ht="18">
      <c r="B51" s="181" t="s">
        <v>69</v>
      </c>
      <c r="C51" s="190"/>
      <c r="D51" s="191"/>
      <c r="E51" s="231" t="s">
        <v>111</v>
      </c>
      <c r="F51" s="232"/>
      <c r="G51" s="192">
        <v>200</v>
      </c>
      <c r="H51" s="174" t="s">
        <v>44</v>
      </c>
      <c r="I51" s="186">
        <v>362</v>
      </c>
      <c r="J51" s="11">
        <f>G51*I51</f>
        <v>72400</v>
      </c>
      <c r="K51" s="215"/>
    </row>
    <row r="52" spans="2:11" ht="18">
      <c r="B52" s="181" t="s">
        <v>112</v>
      </c>
      <c r="C52" s="190"/>
      <c r="D52" s="191"/>
      <c r="E52" s="231" t="s">
        <v>107</v>
      </c>
      <c r="F52" s="232"/>
      <c r="G52" s="192">
        <v>150</v>
      </c>
      <c r="H52" s="174" t="s">
        <v>44</v>
      </c>
      <c r="I52" s="186">
        <v>362</v>
      </c>
      <c r="J52" s="11">
        <f>G52*I52</f>
        <v>54300</v>
      </c>
      <c r="K52" s="215"/>
    </row>
    <row r="53" spans="2:11" ht="18">
      <c r="B53" s="181" t="s">
        <v>136</v>
      </c>
      <c r="C53" s="190"/>
      <c r="D53" s="191"/>
      <c r="E53" s="231" t="s">
        <v>107</v>
      </c>
      <c r="F53" s="232"/>
      <c r="G53" s="192">
        <v>200</v>
      </c>
      <c r="H53" s="174" t="s">
        <v>44</v>
      </c>
      <c r="I53" s="186">
        <v>670</v>
      </c>
      <c r="J53" s="11">
        <f>G53*I53</f>
        <v>134000</v>
      </c>
      <c r="K53" s="215"/>
    </row>
    <row r="54" spans="2:11" ht="18">
      <c r="B54" s="181" t="s">
        <v>137</v>
      </c>
      <c r="C54" s="190"/>
      <c r="D54" s="191"/>
      <c r="E54" s="231" t="s">
        <v>94</v>
      </c>
      <c r="F54" s="232"/>
      <c r="G54" s="192">
        <v>150</v>
      </c>
      <c r="H54" s="174" t="s">
        <v>44</v>
      </c>
      <c r="I54" s="186">
        <v>334</v>
      </c>
      <c r="J54" s="11">
        <f>G54*I54</f>
        <v>50100</v>
      </c>
      <c r="K54" s="215"/>
    </row>
    <row r="55" spans="2:11" ht="18">
      <c r="B55" s="193" t="s">
        <v>131</v>
      </c>
      <c r="C55" s="188"/>
      <c r="D55" s="189"/>
      <c r="E55" s="231"/>
      <c r="F55" s="232"/>
      <c r="G55" s="192"/>
      <c r="H55" s="174"/>
      <c r="I55" s="186"/>
      <c r="J55" s="11"/>
      <c r="K55" s="215"/>
    </row>
    <row r="56" spans="2:11" ht="18">
      <c r="B56" s="194" t="s">
        <v>42</v>
      </c>
      <c r="C56" s="195"/>
      <c r="D56" s="196"/>
      <c r="E56" s="231"/>
      <c r="F56" s="232"/>
      <c r="G56" s="192"/>
      <c r="H56" s="174"/>
      <c r="I56" s="186"/>
      <c r="J56" s="11"/>
      <c r="K56" s="215"/>
    </row>
    <row r="57" spans="2:11" ht="18">
      <c r="B57" s="193" t="s">
        <v>132</v>
      </c>
      <c r="C57" s="188"/>
      <c r="D57" s="189"/>
      <c r="E57" s="231" t="s">
        <v>113</v>
      </c>
      <c r="F57" s="232"/>
      <c r="G57" s="192">
        <v>3</v>
      </c>
      <c r="H57" s="174" t="s">
        <v>44</v>
      </c>
      <c r="I57" s="186">
        <v>9878</v>
      </c>
      <c r="J57" s="11">
        <f aca="true" t="shared" si="3" ref="J57:J74">G57*I57</f>
        <v>29634</v>
      </c>
      <c r="K57" s="215"/>
    </row>
    <row r="58" spans="2:11" ht="18">
      <c r="B58" s="193" t="s">
        <v>114</v>
      </c>
      <c r="C58" s="188"/>
      <c r="D58" s="189"/>
      <c r="E58" s="231" t="s">
        <v>115</v>
      </c>
      <c r="F58" s="232"/>
      <c r="G58" s="192">
        <v>0.5</v>
      </c>
      <c r="H58" s="174" t="s">
        <v>40</v>
      </c>
      <c r="I58" s="186">
        <v>80475</v>
      </c>
      <c r="J58" s="11">
        <f t="shared" si="3"/>
        <v>40237.5</v>
      </c>
      <c r="K58" s="215"/>
    </row>
    <row r="59" spans="2:11" ht="18">
      <c r="B59" s="193" t="s">
        <v>131</v>
      </c>
      <c r="C59" s="188"/>
      <c r="D59" s="189"/>
      <c r="E59" s="231"/>
      <c r="F59" s="232"/>
      <c r="G59" s="192"/>
      <c r="H59" s="174"/>
      <c r="I59" s="186"/>
      <c r="J59" s="11"/>
      <c r="K59" s="215"/>
    </row>
    <row r="60" spans="2:11" ht="18">
      <c r="B60" s="194" t="s">
        <v>43</v>
      </c>
      <c r="C60" s="195"/>
      <c r="D60" s="196"/>
      <c r="E60" s="231"/>
      <c r="F60" s="232"/>
      <c r="G60" s="192"/>
      <c r="H60" s="174"/>
      <c r="I60" s="186"/>
      <c r="J60" s="11"/>
      <c r="K60" s="215"/>
    </row>
    <row r="61" spans="2:11" ht="18">
      <c r="B61" s="193" t="s">
        <v>133</v>
      </c>
      <c r="C61" s="188"/>
      <c r="D61" s="189"/>
      <c r="E61" s="231" t="s">
        <v>116</v>
      </c>
      <c r="F61" s="232"/>
      <c r="G61" s="184">
        <v>0.5</v>
      </c>
      <c r="H61" s="185" t="s">
        <v>44</v>
      </c>
      <c r="I61" s="186">
        <v>190675</v>
      </c>
      <c r="J61" s="11">
        <f t="shared" si="3"/>
        <v>95337.5</v>
      </c>
      <c r="K61" s="215"/>
    </row>
    <row r="62" spans="2:11" ht="18">
      <c r="B62" s="193" t="s">
        <v>70</v>
      </c>
      <c r="C62" s="188"/>
      <c r="D62" s="189"/>
      <c r="E62" s="231" t="s">
        <v>107</v>
      </c>
      <c r="F62" s="232"/>
      <c r="G62" s="184">
        <v>0.5</v>
      </c>
      <c r="H62" s="185" t="s">
        <v>40</v>
      </c>
      <c r="I62" s="186">
        <v>34500</v>
      </c>
      <c r="J62" s="11">
        <f t="shared" si="3"/>
        <v>17250</v>
      </c>
      <c r="K62" s="215"/>
    </row>
    <row r="63" spans="2:11" ht="18">
      <c r="B63" s="193" t="s">
        <v>131</v>
      </c>
      <c r="C63" s="188"/>
      <c r="D63" s="189"/>
      <c r="E63" s="231"/>
      <c r="F63" s="232"/>
      <c r="G63" s="184"/>
      <c r="H63" s="185"/>
      <c r="I63" s="186"/>
      <c r="J63" s="11"/>
      <c r="K63" s="215"/>
    </row>
    <row r="64" spans="2:11" ht="18">
      <c r="B64" s="194" t="s">
        <v>67</v>
      </c>
      <c r="C64" s="188"/>
      <c r="D64" s="189"/>
      <c r="E64" s="231"/>
      <c r="F64" s="232"/>
      <c r="G64" s="184"/>
      <c r="H64" s="185"/>
      <c r="I64" s="186"/>
      <c r="J64" s="11"/>
      <c r="K64" s="215"/>
    </row>
    <row r="65" spans="2:11" ht="18">
      <c r="B65" s="193" t="s">
        <v>71</v>
      </c>
      <c r="C65" s="188"/>
      <c r="D65" s="189"/>
      <c r="E65" s="231" t="s">
        <v>116</v>
      </c>
      <c r="F65" s="232"/>
      <c r="G65" s="184">
        <v>4</v>
      </c>
      <c r="H65" s="185" t="s">
        <v>40</v>
      </c>
      <c r="I65" s="186">
        <v>6870</v>
      </c>
      <c r="J65" s="11">
        <f t="shared" si="3"/>
        <v>27480</v>
      </c>
      <c r="K65" s="215"/>
    </row>
    <row r="66" spans="2:11" ht="18">
      <c r="B66" s="193" t="s">
        <v>117</v>
      </c>
      <c r="C66" s="188"/>
      <c r="D66" s="189"/>
      <c r="E66" s="231" t="s">
        <v>116</v>
      </c>
      <c r="F66" s="232"/>
      <c r="G66" s="184">
        <v>5</v>
      </c>
      <c r="H66" s="185" t="s">
        <v>40</v>
      </c>
      <c r="I66" s="186">
        <v>6406</v>
      </c>
      <c r="J66" s="11">
        <f t="shared" si="3"/>
        <v>32030</v>
      </c>
      <c r="K66" s="215"/>
    </row>
    <row r="67" spans="2:11" ht="18">
      <c r="B67" s="181" t="s">
        <v>131</v>
      </c>
      <c r="C67" s="190"/>
      <c r="D67" s="191"/>
      <c r="E67" s="231"/>
      <c r="F67" s="232"/>
      <c r="G67" s="184"/>
      <c r="H67" s="185"/>
      <c r="I67" s="186"/>
      <c r="J67" s="11"/>
      <c r="K67" s="215"/>
    </row>
    <row r="68" spans="2:11" ht="18">
      <c r="B68" s="187" t="s">
        <v>68</v>
      </c>
      <c r="C68" s="190"/>
      <c r="D68" s="191"/>
      <c r="E68" s="231"/>
      <c r="F68" s="232"/>
      <c r="G68" s="184"/>
      <c r="H68" s="185"/>
      <c r="I68" s="186"/>
      <c r="J68" s="11"/>
      <c r="K68" s="215"/>
    </row>
    <row r="69" spans="2:11" ht="18">
      <c r="B69" s="181" t="s">
        <v>72</v>
      </c>
      <c r="C69" s="190"/>
      <c r="D69" s="191"/>
      <c r="E69" s="231" t="s">
        <v>99</v>
      </c>
      <c r="F69" s="232"/>
      <c r="G69" s="184">
        <v>4</v>
      </c>
      <c r="H69" s="185" t="s">
        <v>118</v>
      </c>
      <c r="I69" s="186">
        <v>60000</v>
      </c>
      <c r="J69" s="11">
        <f t="shared" si="3"/>
        <v>240000</v>
      </c>
      <c r="K69" s="215"/>
    </row>
    <row r="70" spans="2:11" ht="18">
      <c r="B70" s="209" t="s">
        <v>119</v>
      </c>
      <c r="C70" s="210"/>
      <c r="D70" s="210"/>
      <c r="E70" s="231" t="s">
        <v>121</v>
      </c>
      <c r="F70" s="232"/>
      <c r="G70" s="200">
        <v>250</v>
      </c>
      <c r="H70" s="201" t="s">
        <v>44</v>
      </c>
      <c r="I70" s="202">
        <v>2000</v>
      </c>
      <c r="J70" s="11">
        <f t="shared" si="3"/>
        <v>500000</v>
      </c>
      <c r="K70" s="215"/>
    </row>
    <row r="71" spans="2:11" ht="18">
      <c r="B71" s="209" t="s">
        <v>138</v>
      </c>
      <c r="C71" s="210"/>
      <c r="D71" s="210"/>
      <c r="E71" s="231" t="s">
        <v>81</v>
      </c>
      <c r="F71" s="232"/>
      <c r="G71" s="200">
        <v>2</v>
      </c>
      <c r="H71" s="201" t="s">
        <v>120</v>
      </c>
      <c r="I71" s="202">
        <v>80000</v>
      </c>
      <c r="J71" s="11">
        <f>G71*I71/2</f>
        <v>80000</v>
      </c>
      <c r="K71" s="215"/>
    </row>
    <row r="72" spans="2:11" ht="18">
      <c r="B72" s="198" t="s">
        <v>139</v>
      </c>
      <c r="C72" s="199"/>
      <c r="D72" s="199"/>
      <c r="E72" s="231" t="s">
        <v>122</v>
      </c>
      <c r="F72" s="232"/>
      <c r="G72" s="200">
        <v>350</v>
      </c>
      <c r="H72" s="201" t="s">
        <v>44</v>
      </c>
      <c r="I72" s="202">
        <v>1000</v>
      </c>
      <c r="J72" s="11">
        <f>G72*I72/2</f>
        <v>175000</v>
      </c>
      <c r="K72" s="215"/>
    </row>
    <row r="73" spans="2:11" ht="18">
      <c r="B73" s="181" t="s">
        <v>134</v>
      </c>
      <c r="C73" s="190"/>
      <c r="D73" s="191"/>
      <c r="E73" s="231" t="s">
        <v>121</v>
      </c>
      <c r="F73" s="232"/>
      <c r="G73" s="184">
        <v>1500</v>
      </c>
      <c r="H73" s="185" t="s">
        <v>65</v>
      </c>
      <c r="I73" s="186">
        <v>80</v>
      </c>
      <c r="J73" s="11">
        <f t="shared" si="3"/>
        <v>120000</v>
      </c>
      <c r="K73" s="215"/>
    </row>
    <row r="74" spans="2:11" ht="21">
      <c r="B74" s="209" t="s">
        <v>149</v>
      </c>
      <c r="C74" s="210"/>
      <c r="D74" s="197"/>
      <c r="E74" s="233" t="s">
        <v>135</v>
      </c>
      <c r="F74" s="234"/>
      <c r="G74" s="184">
        <v>1</v>
      </c>
      <c r="H74" s="185" t="s">
        <v>64</v>
      </c>
      <c r="I74" s="186">
        <v>25000</v>
      </c>
      <c r="J74" s="11">
        <f t="shared" si="3"/>
        <v>25000</v>
      </c>
      <c r="K74" s="215"/>
    </row>
    <row r="75" spans="2:11" ht="18">
      <c r="B75" s="284" t="s">
        <v>23</v>
      </c>
      <c r="C75" s="285"/>
      <c r="D75" s="285"/>
      <c r="E75" s="285"/>
      <c r="F75" s="285"/>
      <c r="G75" s="285"/>
      <c r="H75" s="285"/>
      <c r="I75" s="285"/>
      <c r="J75" s="108">
        <f>SUM(J47:J74)</f>
        <v>2876769</v>
      </c>
      <c r="K75" s="215"/>
    </row>
    <row r="76" spans="2:11" ht="18">
      <c r="B76" s="26"/>
      <c r="C76" s="26"/>
      <c r="D76" s="26"/>
      <c r="E76" s="26"/>
      <c r="F76" s="26"/>
      <c r="G76" s="27"/>
      <c r="H76" s="26"/>
      <c r="I76" s="26"/>
      <c r="J76" s="28"/>
      <c r="K76" s="215"/>
    </row>
    <row r="77" spans="2:11" ht="18">
      <c r="B77" s="317" t="s">
        <v>24</v>
      </c>
      <c r="C77" s="318"/>
      <c r="D77" s="318"/>
      <c r="E77" s="318"/>
      <c r="F77" s="318"/>
      <c r="G77" s="318"/>
      <c r="H77" s="318"/>
      <c r="I77" s="318"/>
      <c r="J77" s="84">
        <f>total_mano_obra+total_maquinaria+total_insumos</f>
        <v>5226269</v>
      </c>
      <c r="K77" s="215"/>
    </row>
    <row r="78" spans="2:11" ht="18">
      <c r="B78" s="78"/>
      <c r="C78" s="78"/>
      <c r="D78" s="78"/>
      <c r="E78" s="78"/>
      <c r="F78" s="78"/>
      <c r="G78" s="29"/>
      <c r="H78" s="78"/>
      <c r="I78" s="78"/>
      <c r="J78" s="24"/>
      <c r="K78" s="215"/>
    </row>
    <row r="79" spans="2:11" ht="18">
      <c r="B79" s="133" t="s">
        <v>54</v>
      </c>
      <c r="C79" s="134"/>
      <c r="D79" s="135"/>
      <c r="E79" s="319" t="s">
        <v>63</v>
      </c>
      <c r="F79" s="319"/>
      <c r="G79" s="136">
        <v>0.05</v>
      </c>
      <c r="H79" s="137" t="s">
        <v>1</v>
      </c>
      <c r="I79" s="138"/>
      <c r="J79" s="138">
        <f>total_costos_directos*G79</f>
        <v>261313.45</v>
      </c>
      <c r="K79" s="215"/>
    </row>
    <row r="80" spans="2:11" ht="18">
      <c r="B80" s="110"/>
      <c r="C80" s="110"/>
      <c r="D80" s="110"/>
      <c r="E80" s="110"/>
      <c r="F80" s="110"/>
      <c r="G80" s="29"/>
      <c r="H80" s="110"/>
      <c r="I80" s="110"/>
      <c r="J80" s="24"/>
      <c r="K80" s="215"/>
    </row>
    <row r="81" spans="2:11" ht="20.25">
      <c r="B81" s="104" t="s">
        <v>53</v>
      </c>
      <c r="C81" s="103"/>
      <c r="D81" s="103"/>
      <c r="E81" s="17"/>
      <c r="F81" s="17"/>
      <c r="G81" s="18"/>
      <c r="H81" s="19"/>
      <c r="I81" s="20"/>
      <c r="J81" s="20"/>
      <c r="K81" s="215"/>
    </row>
    <row r="82" spans="2:11" ht="18">
      <c r="B82" s="311" t="s">
        <v>52</v>
      </c>
      <c r="C82" s="242"/>
      <c r="D82" s="242"/>
      <c r="E82" s="242" t="s">
        <v>15</v>
      </c>
      <c r="F82" s="242"/>
      <c r="G82" s="95" t="s">
        <v>16</v>
      </c>
      <c r="H82" s="96" t="s">
        <v>17</v>
      </c>
      <c r="I82" s="97" t="s">
        <v>18</v>
      </c>
      <c r="J82" s="98" t="s">
        <v>3</v>
      </c>
      <c r="K82" s="215"/>
    </row>
    <row r="83" spans="2:11" ht="21">
      <c r="B83" s="270" t="s">
        <v>150</v>
      </c>
      <c r="C83" s="271"/>
      <c r="D83" s="272"/>
      <c r="E83" s="286" t="s">
        <v>63</v>
      </c>
      <c r="F83" s="287"/>
      <c r="G83" s="106">
        <f>E16</f>
        <v>0.015</v>
      </c>
      <c r="H83" s="9" t="s">
        <v>1</v>
      </c>
      <c r="I83" s="107"/>
      <c r="J83" s="11">
        <f>total_costos_directos*tasa_interes_mensual*meses_financiamiento*0.5</f>
        <v>235182.105</v>
      </c>
      <c r="K83" s="215"/>
    </row>
    <row r="84" spans="2:11" ht="18">
      <c r="B84" s="270" t="s">
        <v>26</v>
      </c>
      <c r="C84" s="271"/>
      <c r="D84" s="272"/>
      <c r="E84" s="282"/>
      <c r="F84" s="283"/>
      <c r="G84" s="85"/>
      <c r="H84" s="85"/>
      <c r="I84" s="85"/>
      <c r="J84" s="87"/>
      <c r="K84" s="215"/>
    </row>
    <row r="85" spans="2:11" ht="18">
      <c r="B85" s="270" t="s">
        <v>2</v>
      </c>
      <c r="C85" s="271"/>
      <c r="D85" s="272"/>
      <c r="E85" s="282"/>
      <c r="F85" s="283"/>
      <c r="G85" s="85"/>
      <c r="H85" s="85"/>
      <c r="I85" s="85"/>
      <c r="J85" s="87"/>
      <c r="K85" s="215"/>
    </row>
    <row r="86" spans="2:11" ht="18">
      <c r="B86" s="275" t="s">
        <v>27</v>
      </c>
      <c r="C86" s="276"/>
      <c r="D86" s="277"/>
      <c r="E86" s="290"/>
      <c r="F86" s="291"/>
      <c r="G86" s="86"/>
      <c r="H86" s="86"/>
      <c r="I86" s="86"/>
      <c r="J86" s="88"/>
      <c r="K86" s="215"/>
    </row>
    <row r="87" spans="2:11" ht="18">
      <c r="B87" s="288" t="s">
        <v>49</v>
      </c>
      <c r="C87" s="289"/>
      <c r="D87" s="289"/>
      <c r="E87" s="289"/>
      <c r="F87" s="289"/>
      <c r="G87" s="289"/>
      <c r="H87" s="289"/>
      <c r="I87" s="289"/>
      <c r="J87" s="105">
        <f>SUM(J83:J86)</f>
        <v>235182.105</v>
      </c>
      <c r="K87" s="215"/>
    </row>
    <row r="88" spans="2:11" ht="18" customHeight="1">
      <c r="B88" s="77"/>
      <c r="C88" s="77"/>
      <c r="D88" s="77"/>
      <c r="E88" s="77"/>
      <c r="F88" s="77"/>
      <c r="G88" s="22"/>
      <c r="H88" s="77"/>
      <c r="I88" s="77"/>
      <c r="J88" s="24"/>
      <c r="K88" s="215"/>
    </row>
    <row r="89" spans="2:11" ht="18" customHeight="1">
      <c r="B89" s="308" t="s">
        <v>28</v>
      </c>
      <c r="C89" s="309"/>
      <c r="D89" s="309"/>
      <c r="E89" s="309"/>
      <c r="F89" s="309"/>
      <c r="G89" s="309"/>
      <c r="H89" s="309"/>
      <c r="I89" s="309"/>
      <c r="J89" s="306">
        <f>total_costos_directos+imprevistos+total_costos_indirectos</f>
        <v>5722764.555000001</v>
      </c>
      <c r="K89" s="215"/>
    </row>
    <row r="90" spans="2:11" ht="18" customHeight="1">
      <c r="B90" s="288"/>
      <c r="C90" s="289"/>
      <c r="D90" s="289"/>
      <c r="E90" s="289"/>
      <c r="F90" s="289"/>
      <c r="G90" s="289"/>
      <c r="H90" s="289"/>
      <c r="I90" s="289"/>
      <c r="J90" s="307"/>
      <c r="K90" s="215"/>
    </row>
    <row r="91" spans="2:11" ht="18" customHeight="1">
      <c r="B91" s="26"/>
      <c r="C91" s="26"/>
      <c r="D91" s="26"/>
      <c r="E91" s="26"/>
      <c r="F91" s="26"/>
      <c r="G91" s="27"/>
      <c r="H91" s="26"/>
      <c r="I91" s="26"/>
      <c r="J91" s="28"/>
      <c r="K91" s="215"/>
    </row>
    <row r="92" spans="2:11" ht="18" customHeight="1">
      <c r="B92" s="77"/>
      <c r="C92" s="77"/>
      <c r="D92" s="77"/>
      <c r="E92" s="77"/>
      <c r="F92" s="77"/>
      <c r="G92" s="22"/>
      <c r="H92" s="77"/>
      <c r="I92" s="77"/>
      <c r="J92" s="24"/>
      <c r="K92" s="215"/>
    </row>
    <row r="93" spans="2:11" ht="18" customHeight="1">
      <c r="B93" s="77"/>
      <c r="C93" s="77"/>
      <c r="D93" s="77"/>
      <c r="E93" s="77"/>
      <c r="F93" s="77"/>
      <c r="G93" s="22"/>
      <c r="H93" s="77"/>
      <c r="I93" s="77"/>
      <c r="J93" s="24"/>
      <c r="K93" s="215"/>
    </row>
    <row r="94" spans="2:11" ht="18" customHeight="1">
      <c r="B94" s="261" t="s">
        <v>151</v>
      </c>
      <c r="C94" s="262"/>
      <c r="D94" s="262"/>
      <c r="E94" s="262"/>
      <c r="F94" s="262"/>
      <c r="G94" s="262"/>
      <c r="H94" s="262"/>
      <c r="I94" s="262"/>
      <c r="J94" s="263"/>
      <c r="K94" s="215"/>
    </row>
    <row r="95" spans="2:11" ht="18" customHeight="1">
      <c r="B95" s="265" t="s">
        <v>34</v>
      </c>
      <c r="C95" s="266"/>
      <c r="D95" s="266"/>
      <c r="E95" s="266"/>
      <c r="F95" s="266"/>
      <c r="G95" s="266"/>
      <c r="H95" s="266"/>
      <c r="I95" s="266"/>
      <c r="J95" s="267"/>
      <c r="K95" s="215"/>
    </row>
    <row r="96" spans="2:11" ht="18" customHeight="1">
      <c r="B96" s="310" t="s">
        <v>60</v>
      </c>
      <c r="C96" s="310"/>
      <c r="D96" s="310"/>
      <c r="E96" s="292" t="s">
        <v>59</v>
      </c>
      <c r="F96" s="293"/>
      <c r="G96" s="293"/>
      <c r="H96" s="293"/>
      <c r="I96" s="293"/>
      <c r="J96" s="294"/>
      <c r="K96" s="215"/>
    </row>
    <row r="97" spans="2:11" ht="18" customHeight="1">
      <c r="B97" s="310"/>
      <c r="C97" s="310"/>
      <c r="D97" s="310"/>
      <c r="E97" s="268">
        <f>G97*0.9</f>
        <v>810</v>
      </c>
      <c r="F97" s="268"/>
      <c r="G97" s="314">
        <f>precio_de_venta</f>
        <v>900</v>
      </c>
      <c r="H97" s="314"/>
      <c r="I97" s="268">
        <f>G97*1.1</f>
        <v>990.0000000000001</v>
      </c>
      <c r="J97" s="268"/>
      <c r="K97" s="215"/>
    </row>
    <row r="98" spans="2:11" ht="18" customHeight="1">
      <c r="B98" s="268">
        <f>rendimiento*0.9</f>
        <v>9000</v>
      </c>
      <c r="C98" s="268"/>
      <c r="D98" s="268"/>
      <c r="E98" s="264">
        <f>E$97*$B$98-rdto_variable!$C$44</f>
        <v>1694529.1949999994</v>
      </c>
      <c r="F98" s="264"/>
      <c r="G98" s="264">
        <f>G$97*$B$98-rdto_variable!$C$44</f>
        <v>2504529.1949999994</v>
      </c>
      <c r="H98" s="264"/>
      <c r="I98" s="264">
        <f>I$97*$B$98-rdto_variable!$C$44</f>
        <v>3314529.195000001</v>
      </c>
      <c r="J98" s="264"/>
      <c r="K98" s="215"/>
    </row>
    <row r="99" spans="2:11" ht="18" customHeight="1">
      <c r="B99" s="268">
        <f>rendimiento</f>
        <v>10000</v>
      </c>
      <c r="C99" s="268"/>
      <c r="D99" s="268"/>
      <c r="E99" s="264">
        <f>E$97*$B$99-total_costos</f>
        <v>2377235.4449999994</v>
      </c>
      <c r="F99" s="264"/>
      <c r="G99" s="264">
        <f>G$97*$B$99-total_costos</f>
        <v>3277235.4449999994</v>
      </c>
      <c r="H99" s="264"/>
      <c r="I99" s="264">
        <f>I$97*$B$99-total_costos</f>
        <v>4177235.445000001</v>
      </c>
      <c r="J99" s="264"/>
      <c r="K99" s="215"/>
    </row>
    <row r="100" spans="2:11" ht="18" customHeight="1">
      <c r="B100" s="268">
        <f>rendimiento*1.1</f>
        <v>11000</v>
      </c>
      <c r="C100" s="268"/>
      <c r="D100" s="268"/>
      <c r="E100" s="264">
        <f>E$97*$B$100-rdto_variable!$D$44</f>
        <v>3059941.6949999994</v>
      </c>
      <c r="F100" s="264"/>
      <c r="G100" s="264">
        <f>G$97*$B$100-rdto_variable!$D$44</f>
        <v>4049941.6949999994</v>
      </c>
      <c r="H100" s="264"/>
      <c r="I100" s="264">
        <f>I$97*$B$100-rdto_variable!$D$44</f>
        <v>5039941.695000001</v>
      </c>
      <c r="J100" s="264"/>
      <c r="K100" s="215"/>
    </row>
    <row r="101" spans="2:11" ht="18" customHeight="1">
      <c r="B101" s="31"/>
      <c r="C101" s="31"/>
      <c r="D101" s="32"/>
      <c r="E101" s="32"/>
      <c r="F101" s="32"/>
      <c r="G101" s="33"/>
      <c r="H101" s="12"/>
      <c r="I101" s="14"/>
      <c r="J101" s="14"/>
      <c r="K101" s="215"/>
    </row>
    <row r="102" spans="2:11" ht="18" customHeight="1">
      <c r="B102" s="300" t="s">
        <v>152</v>
      </c>
      <c r="C102" s="301"/>
      <c r="D102" s="301"/>
      <c r="E102" s="301"/>
      <c r="F102" s="301"/>
      <c r="G102" s="301"/>
      <c r="H102" s="301"/>
      <c r="I102" s="301"/>
      <c r="J102" s="302"/>
      <c r="K102" s="215"/>
    </row>
    <row r="103" spans="2:11" ht="18" customHeight="1">
      <c r="B103" s="303"/>
      <c r="C103" s="304"/>
      <c r="D103" s="304"/>
      <c r="E103" s="304"/>
      <c r="F103" s="304"/>
      <c r="G103" s="304"/>
      <c r="H103" s="304"/>
      <c r="I103" s="304"/>
      <c r="J103" s="305"/>
      <c r="K103" s="215"/>
    </row>
    <row r="104" spans="2:11" ht="18" customHeight="1">
      <c r="B104" s="315" t="s">
        <v>60</v>
      </c>
      <c r="C104" s="259"/>
      <c r="D104" s="259"/>
      <c r="E104" s="259">
        <f>B98</f>
        <v>9000</v>
      </c>
      <c r="F104" s="259"/>
      <c r="G104" s="259">
        <f>B99</f>
        <v>10000</v>
      </c>
      <c r="H104" s="259"/>
      <c r="I104" s="259">
        <f>B100</f>
        <v>11000</v>
      </c>
      <c r="J104" s="312"/>
      <c r="K104" s="215"/>
    </row>
    <row r="105" spans="2:11" ht="18" customHeight="1">
      <c r="B105" s="316"/>
      <c r="C105" s="260"/>
      <c r="D105" s="260"/>
      <c r="E105" s="260"/>
      <c r="F105" s="260"/>
      <c r="G105" s="260"/>
      <c r="H105" s="260"/>
      <c r="I105" s="260"/>
      <c r="J105" s="313"/>
      <c r="K105" s="215"/>
    </row>
    <row r="106" spans="2:11" ht="18" customHeight="1">
      <c r="B106" s="278" t="s">
        <v>61</v>
      </c>
      <c r="C106" s="279"/>
      <c r="D106" s="279"/>
      <c r="E106" s="273">
        <f>rdto_variable!C44/sandia!E104</f>
        <v>621.7189783333334</v>
      </c>
      <c r="F106" s="273"/>
      <c r="G106" s="274">
        <f>total_costos/$G$104</f>
        <v>572.2764555000001</v>
      </c>
      <c r="H106" s="274"/>
      <c r="I106" s="273">
        <f>rdto_variable!D44/sandia!I104</f>
        <v>531.8234822727273</v>
      </c>
      <c r="J106" s="298"/>
      <c r="K106" s="215"/>
    </row>
    <row r="107" spans="2:11" ht="18" customHeight="1">
      <c r="B107" s="280"/>
      <c r="C107" s="281"/>
      <c r="D107" s="281"/>
      <c r="E107" s="274"/>
      <c r="F107" s="274"/>
      <c r="G107" s="274"/>
      <c r="H107" s="274"/>
      <c r="I107" s="274"/>
      <c r="J107" s="299"/>
      <c r="K107" s="215"/>
    </row>
    <row r="108" spans="2:11" ht="18" customHeight="1">
      <c r="B108" s="43"/>
      <c r="C108" s="1"/>
      <c r="D108" s="3"/>
      <c r="E108" s="3"/>
      <c r="F108" s="90"/>
      <c r="G108" s="90"/>
      <c r="H108" s="90"/>
      <c r="I108" s="14"/>
      <c r="J108" s="14"/>
      <c r="K108" s="215"/>
    </row>
    <row r="109" spans="2:11" ht="18" customHeight="1">
      <c r="B109" s="295" t="s">
        <v>30</v>
      </c>
      <c r="C109" s="296"/>
      <c r="D109" s="296"/>
      <c r="E109" s="296"/>
      <c r="F109" s="296"/>
      <c r="G109" s="296"/>
      <c r="H109" s="296"/>
      <c r="I109" s="296"/>
      <c r="J109" s="297"/>
      <c r="K109" s="76"/>
    </row>
    <row r="110" spans="2:11" ht="30.75" customHeight="1">
      <c r="B110" s="235" t="s">
        <v>143</v>
      </c>
      <c r="C110" s="236"/>
      <c r="D110" s="236"/>
      <c r="E110" s="236"/>
      <c r="F110" s="236"/>
      <c r="G110" s="236"/>
      <c r="H110" s="236"/>
      <c r="I110" s="236"/>
      <c r="J110" s="237"/>
      <c r="K110" s="211"/>
    </row>
    <row r="111" spans="2:11" ht="18">
      <c r="B111" s="216" t="s">
        <v>147</v>
      </c>
      <c r="C111" s="217"/>
      <c r="D111" s="217"/>
      <c r="E111" s="217"/>
      <c r="F111" s="217"/>
      <c r="G111" s="217"/>
      <c r="H111" s="217"/>
      <c r="I111" s="217"/>
      <c r="J111" s="218"/>
      <c r="K111" s="211"/>
    </row>
    <row r="112" spans="2:11" ht="30.75" customHeight="1">
      <c r="B112" s="219" t="s">
        <v>144</v>
      </c>
      <c r="C112" s="220"/>
      <c r="D112" s="220"/>
      <c r="E112" s="220"/>
      <c r="F112" s="220"/>
      <c r="G112" s="220"/>
      <c r="H112" s="220"/>
      <c r="I112" s="220"/>
      <c r="J112" s="221"/>
      <c r="K112" s="211"/>
    </row>
    <row r="113" spans="2:11" ht="18">
      <c r="B113" s="222" t="s">
        <v>145</v>
      </c>
      <c r="C113" s="223"/>
      <c r="D113" s="223"/>
      <c r="E113" s="223"/>
      <c r="F113" s="223"/>
      <c r="G113" s="223"/>
      <c r="H113" s="223"/>
      <c r="I113" s="223"/>
      <c r="J113" s="224"/>
      <c r="K113" s="211"/>
    </row>
    <row r="114" spans="2:11" ht="18">
      <c r="B114" s="222" t="s">
        <v>154</v>
      </c>
      <c r="C114" s="223"/>
      <c r="D114" s="223"/>
      <c r="E114" s="223"/>
      <c r="F114" s="223"/>
      <c r="G114" s="223"/>
      <c r="H114" s="223"/>
      <c r="I114" s="223"/>
      <c r="J114" s="224"/>
      <c r="K114" s="211"/>
    </row>
    <row r="115" spans="2:11" ht="18">
      <c r="B115" s="225" t="s">
        <v>146</v>
      </c>
      <c r="C115" s="226"/>
      <c r="D115" s="226"/>
      <c r="E115" s="226"/>
      <c r="F115" s="226"/>
      <c r="G115" s="226"/>
      <c r="H115" s="226"/>
      <c r="I115" s="226"/>
      <c r="J115" s="227"/>
      <c r="K115" s="211"/>
    </row>
    <row r="116" spans="2:11" ht="18">
      <c r="B116" s="228" t="s">
        <v>153</v>
      </c>
      <c r="C116" s="229"/>
      <c r="D116" s="229"/>
      <c r="E116" s="229"/>
      <c r="F116" s="229"/>
      <c r="G116" s="229"/>
      <c r="H116" s="229"/>
      <c r="I116" s="229"/>
      <c r="J116" s="230"/>
      <c r="K116" s="211"/>
    </row>
    <row r="117" spans="2:11" ht="18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0"/>
    </row>
    <row r="118" spans="2:10" ht="16.5" customHeight="1">
      <c r="B118" s="36"/>
      <c r="C118" s="36"/>
      <c r="D118" s="36"/>
      <c r="E118" s="36"/>
      <c r="F118" s="36"/>
      <c r="G118" s="37"/>
      <c r="H118" s="36"/>
      <c r="I118" s="36"/>
      <c r="J118" s="36"/>
    </row>
    <row r="119" spans="2:10" ht="15">
      <c r="B119" s="4"/>
      <c r="C119" s="4"/>
      <c r="D119" s="4"/>
      <c r="E119" s="4"/>
      <c r="F119" s="4"/>
      <c r="G119" s="5"/>
      <c r="H119" s="4"/>
      <c r="I119" s="4"/>
      <c r="J119" s="4"/>
    </row>
    <row r="120" spans="2:10" ht="15">
      <c r="B120" s="6"/>
      <c r="C120" s="6"/>
      <c r="D120" s="6"/>
      <c r="E120" s="6"/>
      <c r="F120" s="6"/>
      <c r="G120" s="7"/>
      <c r="H120" s="6"/>
      <c r="I120" s="6"/>
      <c r="J120" s="6"/>
    </row>
    <row r="121" spans="2:10" ht="15">
      <c r="B121" s="6"/>
      <c r="C121" s="6"/>
      <c r="D121" s="6"/>
      <c r="E121" s="6"/>
      <c r="F121" s="6"/>
      <c r="G121" s="7"/>
      <c r="H121" s="6"/>
      <c r="I121" s="6"/>
      <c r="J121" s="6"/>
    </row>
    <row r="122" spans="2:10" ht="15">
      <c r="B122" s="6"/>
      <c r="C122" s="6"/>
      <c r="D122" s="6"/>
      <c r="E122" s="6"/>
      <c r="F122" s="6"/>
      <c r="G122" s="7"/>
      <c r="H122" s="6"/>
      <c r="I122" s="6"/>
      <c r="J122" s="6"/>
    </row>
    <row r="123" spans="2:11" ht="15">
      <c r="B123" s="63"/>
      <c r="C123" s="63"/>
      <c r="D123" s="63"/>
      <c r="E123" s="63"/>
      <c r="F123" s="63"/>
      <c r="G123" s="64"/>
      <c r="H123" s="63"/>
      <c r="I123" s="63"/>
      <c r="J123" s="63"/>
      <c r="K123" s="65"/>
    </row>
    <row r="124" spans="2:11" ht="15">
      <c r="B124" s="63"/>
      <c r="C124" s="63"/>
      <c r="D124" s="63"/>
      <c r="E124" s="63"/>
      <c r="F124" s="63"/>
      <c r="G124" s="64"/>
      <c r="H124" s="63"/>
      <c r="I124" s="63"/>
      <c r="J124" s="63"/>
      <c r="K124" s="65"/>
    </row>
    <row r="125" spans="2:11" ht="15">
      <c r="B125" s="63"/>
      <c r="C125" s="63"/>
      <c r="D125" s="63"/>
      <c r="E125" s="63"/>
      <c r="F125" s="63"/>
      <c r="G125" s="64"/>
      <c r="H125" s="63"/>
      <c r="I125" s="63"/>
      <c r="J125" s="63"/>
      <c r="K125" s="65"/>
    </row>
    <row r="126" spans="2:11" ht="15">
      <c r="B126" s="63"/>
      <c r="C126" s="63"/>
      <c r="D126" s="63"/>
      <c r="E126" s="63"/>
      <c r="F126" s="63"/>
      <c r="G126" s="64"/>
      <c r="H126" s="63"/>
      <c r="I126" s="63"/>
      <c r="J126" s="63"/>
      <c r="K126" s="65"/>
    </row>
    <row r="127" spans="2:11" ht="18">
      <c r="B127" s="52"/>
      <c r="C127" s="52"/>
      <c r="D127" s="53"/>
      <c r="E127" s="53"/>
      <c r="F127" s="54"/>
      <c r="G127" s="54"/>
      <c r="H127" s="54"/>
      <c r="I127" s="63"/>
      <c r="J127" s="63"/>
      <c r="K127" s="65"/>
    </row>
    <row r="128" spans="2:11" ht="18">
      <c r="B128" s="52"/>
      <c r="C128" s="55"/>
      <c r="D128" s="55"/>
      <c r="E128" s="56"/>
      <c r="F128" s="55"/>
      <c r="G128" s="57"/>
      <c r="H128" s="58"/>
      <c r="I128" s="63"/>
      <c r="J128" s="63"/>
      <c r="K128" s="65"/>
    </row>
    <row r="129" spans="2:11" ht="18">
      <c r="B129" s="53"/>
      <c r="C129" s="53"/>
      <c r="D129" s="53"/>
      <c r="E129" s="53"/>
      <c r="F129" s="53"/>
      <c r="G129" s="53"/>
      <c r="H129" s="53"/>
      <c r="I129" s="63"/>
      <c r="J129" s="63"/>
      <c r="K129" s="65"/>
    </row>
    <row r="130" spans="2:11" ht="18">
      <c r="B130" s="52"/>
      <c r="C130" s="53"/>
      <c r="D130" s="53"/>
      <c r="E130" s="53"/>
      <c r="F130" s="53"/>
      <c r="G130" s="53"/>
      <c r="H130" s="53"/>
      <c r="I130" s="63"/>
      <c r="J130" s="63"/>
      <c r="K130" s="65"/>
    </row>
    <row r="131" spans="2:11" ht="18">
      <c r="B131" s="66"/>
      <c r="C131" s="67"/>
      <c r="D131" s="67"/>
      <c r="E131" s="59"/>
      <c r="F131" s="59"/>
      <c r="G131" s="59"/>
      <c r="H131" s="59"/>
      <c r="I131" s="63"/>
      <c r="J131" s="65"/>
      <c r="K131" s="65"/>
    </row>
    <row r="132" spans="2:11" ht="18">
      <c r="B132" s="66"/>
      <c r="C132" s="67"/>
      <c r="D132" s="67"/>
      <c r="E132" s="59"/>
      <c r="F132" s="59"/>
      <c r="G132" s="59"/>
      <c r="H132" s="59"/>
      <c r="I132" s="63"/>
      <c r="J132" s="65"/>
      <c r="K132" s="65"/>
    </row>
    <row r="133" spans="2:11" ht="18">
      <c r="B133" s="60"/>
      <c r="C133" s="61"/>
      <c r="D133" s="61"/>
      <c r="E133" s="60"/>
      <c r="F133" s="60"/>
      <c r="G133" s="60"/>
      <c r="H133" s="62"/>
      <c r="I133" s="63"/>
      <c r="J133" s="63"/>
      <c r="K133" s="65"/>
    </row>
    <row r="134" spans="2:11" ht="18">
      <c r="B134" s="53"/>
      <c r="C134" s="53"/>
      <c r="D134" s="53"/>
      <c r="E134" s="53"/>
      <c r="F134" s="53"/>
      <c r="G134" s="53"/>
      <c r="H134" s="53"/>
      <c r="I134" s="63"/>
      <c r="J134" s="63"/>
      <c r="K134" s="65"/>
    </row>
    <row r="135" spans="2:11" ht="18">
      <c r="B135" s="52"/>
      <c r="C135" s="53"/>
      <c r="D135" s="53"/>
      <c r="E135" s="53"/>
      <c r="F135" s="53"/>
      <c r="G135" s="53"/>
      <c r="H135" s="53"/>
      <c r="I135" s="63"/>
      <c r="J135" s="63"/>
      <c r="K135" s="65"/>
    </row>
    <row r="136" spans="2:11" ht="18">
      <c r="B136" s="68"/>
      <c r="C136" s="69"/>
      <c r="D136" s="70"/>
      <c r="E136" s="71"/>
      <c r="F136" s="70"/>
      <c r="G136" s="72"/>
      <c r="H136" s="72"/>
      <c r="I136" s="63"/>
      <c r="J136" s="63"/>
      <c r="K136" s="65"/>
    </row>
    <row r="137" spans="2:11" ht="18">
      <c r="B137" s="68"/>
      <c r="C137" s="69"/>
      <c r="D137" s="70"/>
      <c r="E137" s="71"/>
      <c r="F137" s="70"/>
      <c r="G137" s="72"/>
      <c r="H137" s="72"/>
      <c r="I137" s="63"/>
      <c r="J137" s="63"/>
      <c r="K137" s="65"/>
    </row>
    <row r="138" spans="2:11" ht="18">
      <c r="B138" s="269"/>
      <c r="C138" s="269"/>
      <c r="D138" s="70"/>
      <c r="E138" s="71"/>
      <c r="F138" s="70"/>
      <c r="G138" s="72"/>
      <c r="H138" s="72"/>
      <c r="I138" s="63"/>
      <c r="J138" s="63"/>
      <c r="K138" s="65"/>
    </row>
    <row r="139" spans="2:11" ht="18">
      <c r="B139" s="68"/>
      <c r="C139" s="69"/>
      <c r="D139" s="70"/>
      <c r="E139" s="71"/>
      <c r="F139" s="70"/>
      <c r="G139" s="72"/>
      <c r="H139" s="72"/>
      <c r="I139" s="63"/>
      <c r="J139" s="63"/>
      <c r="K139" s="65"/>
    </row>
    <row r="140" spans="2:11" ht="18">
      <c r="B140" s="68"/>
      <c r="C140" s="69"/>
      <c r="D140" s="70"/>
      <c r="E140" s="71"/>
      <c r="F140" s="70"/>
      <c r="G140" s="72"/>
      <c r="H140" s="72"/>
      <c r="I140" s="63"/>
      <c r="J140" s="63"/>
      <c r="K140" s="65"/>
    </row>
    <row r="141" spans="2:11" ht="18">
      <c r="B141" s="68"/>
      <c r="C141" s="69"/>
      <c r="D141" s="70"/>
      <c r="E141" s="71"/>
      <c r="F141" s="70"/>
      <c r="G141" s="72"/>
      <c r="H141" s="72"/>
      <c r="I141" s="63"/>
      <c r="J141" s="63"/>
      <c r="K141" s="65"/>
    </row>
    <row r="142" spans="2:11" ht="18">
      <c r="B142" s="68"/>
      <c r="C142" s="69"/>
      <c r="D142" s="70"/>
      <c r="E142" s="71"/>
      <c r="F142" s="70"/>
      <c r="G142" s="72"/>
      <c r="H142" s="72"/>
      <c r="I142" s="63"/>
      <c r="J142" s="63"/>
      <c r="K142" s="65"/>
    </row>
    <row r="143" spans="2:11" ht="18">
      <c r="B143" s="68"/>
      <c r="C143" s="69"/>
      <c r="D143" s="70"/>
      <c r="E143" s="71"/>
      <c r="F143" s="70"/>
      <c r="G143" s="72"/>
      <c r="H143" s="72"/>
      <c r="I143" s="63"/>
      <c r="J143" s="63"/>
      <c r="K143" s="65"/>
    </row>
    <row r="144" spans="2:11" ht="18">
      <c r="B144" s="68"/>
      <c r="C144" s="69"/>
      <c r="D144" s="70"/>
      <c r="E144" s="71"/>
      <c r="F144" s="70"/>
      <c r="G144" s="72"/>
      <c r="H144" s="72"/>
      <c r="I144" s="63"/>
      <c r="J144" s="63"/>
      <c r="K144" s="65"/>
    </row>
    <row r="145" spans="2:11" ht="18">
      <c r="B145" s="68"/>
      <c r="C145" s="69"/>
      <c r="D145" s="70"/>
      <c r="E145" s="71"/>
      <c r="F145" s="70"/>
      <c r="G145" s="72"/>
      <c r="H145" s="72"/>
      <c r="I145" s="63"/>
      <c r="J145" s="63"/>
      <c r="K145" s="65"/>
    </row>
    <row r="146" spans="2:11" ht="18">
      <c r="B146" s="68"/>
      <c r="C146" s="69"/>
      <c r="D146" s="70"/>
      <c r="E146" s="71"/>
      <c r="F146" s="70"/>
      <c r="G146" s="72"/>
      <c r="H146" s="72"/>
      <c r="I146" s="63"/>
      <c r="J146" s="63"/>
      <c r="K146" s="65"/>
    </row>
    <row r="147" spans="2:11" ht="18">
      <c r="B147" s="68"/>
      <c r="C147" s="69"/>
      <c r="D147" s="70"/>
      <c r="E147" s="71"/>
      <c r="F147" s="70"/>
      <c r="G147" s="72"/>
      <c r="H147" s="72"/>
      <c r="I147" s="63"/>
      <c r="J147" s="63"/>
      <c r="K147" s="65"/>
    </row>
    <row r="148" spans="2:11" ht="18">
      <c r="B148" s="68"/>
      <c r="C148" s="69"/>
      <c r="D148" s="70"/>
      <c r="E148" s="71"/>
      <c r="F148" s="70"/>
      <c r="G148" s="72"/>
      <c r="H148" s="72"/>
      <c r="I148" s="63"/>
      <c r="J148" s="63"/>
      <c r="K148" s="65"/>
    </row>
    <row r="149" spans="2:11" ht="18">
      <c r="B149" s="60"/>
      <c r="C149" s="61"/>
      <c r="D149" s="61"/>
      <c r="E149" s="60"/>
      <c r="F149" s="60"/>
      <c r="G149" s="60"/>
      <c r="H149" s="62"/>
      <c r="I149" s="63"/>
      <c r="J149" s="63"/>
      <c r="K149" s="65"/>
    </row>
    <row r="150" spans="2:11" ht="18">
      <c r="B150" s="53"/>
      <c r="C150" s="53"/>
      <c r="D150" s="53"/>
      <c r="E150" s="53"/>
      <c r="F150" s="53"/>
      <c r="G150" s="53"/>
      <c r="H150" s="53"/>
      <c r="I150" s="63"/>
      <c r="J150" s="63"/>
      <c r="K150" s="65"/>
    </row>
    <row r="151" spans="2:11" ht="18">
      <c r="B151" s="60"/>
      <c r="C151" s="61"/>
      <c r="D151" s="61"/>
      <c r="E151" s="60"/>
      <c r="F151" s="60"/>
      <c r="G151" s="60"/>
      <c r="H151" s="62"/>
      <c r="I151" s="63"/>
      <c r="J151" s="63"/>
      <c r="K151" s="65"/>
    </row>
    <row r="152" spans="2:1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</row>
    <row r="153" spans="2:1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</row>
    <row r="154" spans="2:1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</row>
    <row r="155" spans="2:1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</row>
    <row r="156" spans="2:1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</row>
    <row r="157" spans="2:11" ht="15">
      <c r="B157" s="63"/>
      <c r="C157" s="63"/>
      <c r="D157" s="63"/>
      <c r="E157" s="63"/>
      <c r="F157" s="63"/>
      <c r="G157" s="64"/>
      <c r="H157" s="63"/>
      <c r="I157" s="63"/>
      <c r="J157" s="63"/>
      <c r="K157" s="65"/>
    </row>
    <row r="158" spans="2:1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</row>
    <row r="159" spans="2:1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</row>
    <row r="160" spans="2:1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</row>
    <row r="161" spans="2:1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</row>
    <row r="162" spans="2:11" ht="15">
      <c r="B162" s="73"/>
      <c r="C162" s="73"/>
      <c r="D162" s="73"/>
      <c r="E162" s="73"/>
      <c r="F162" s="73"/>
      <c r="G162" s="64"/>
      <c r="H162" s="63"/>
      <c r="I162" s="63"/>
      <c r="J162" s="63"/>
      <c r="K162" s="65"/>
    </row>
    <row r="163" spans="2:11" ht="15">
      <c r="B163" s="63"/>
      <c r="C163" s="63"/>
      <c r="D163" s="63"/>
      <c r="E163" s="63"/>
      <c r="F163" s="63"/>
      <c r="G163" s="64"/>
      <c r="H163" s="63"/>
      <c r="I163" s="63"/>
      <c r="J163" s="63"/>
      <c r="K163" s="65"/>
    </row>
    <row r="164" spans="2:11" ht="15">
      <c r="B164" s="63"/>
      <c r="C164" s="63"/>
      <c r="D164" s="63"/>
      <c r="E164" s="63"/>
      <c r="F164" s="63"/>
      <c r="G164" s="64"/>
      <c r="H164" s="63"/>
      <c r="I164" s="63"/>
      <c r="J164" s="63"/>
      <c r="K164" s="65"/>
    </row>
    <row r="165" spans="2:11" ht="15">
      <c r="B165" s="63"/>
      <c r="C165" s="65"/>
      <c r="D165" s="65"/>
      <c r="E165" s="65"/>
      <c r="F165" s="65"/>
      <c r="G165" s="64"/>
      <c r="H165" s="63"/>
      <c r="I165" s="63"/>
      <c r="J165" s="63"/>
      <c r="K165" s="65"/>
    </row>
    <row r="166" spans="2:1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</row>
    <row r="167" spans="2:1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</row>
    <row r="168" spans="2:11" ht="15">
      <c r="B168" s="63"/>
      <c r="C168" s="63"/>
      <c r="D168" s="63"/>
      <c r="E168" s="63"/>
      <c r="F168" s="63"/>
      <c r="G168" s="64"/>
      <c r="H168" s="63"/>
      <c r="I168" s="63"/>
      <c r="J168" s="63"/>
      <c r="K168" s="65"/>
    </row>
    <row r="169" spans="2:1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</row>
    <row r="170" spans="2:11" ht="15">
      <c r="B170" s="63"/>
      <c r="C170" s="63"/>
      <c r="D170" s="63"/>
      <c r="E170" s="63"/>
      <c r="F170" s="63"/>
      <c r="G170" s="64"/>
      <c r="H170" s="63"/>
      <c r="I170" s="63"/>
      <c r="J170" s="63"/>
      <c r="K170" s="65"/>
    </row>
    <row r="171" spans="2:11" ht="15">
      <c r="B171" s="63"/>
      <c r="C171" s="63"/>
      <c r="D171" s="65"/>
      <c r="E171" s="63"/>
      <c r="F171" s="63"/>
      <c r="G171" s="64"/>
      <c r="H171" s="63"/>
      <c r="I171" s="63"/>
      <c r="J171" s="63"/>
      <c r="K171" s="65"/>
    </row>
    <row r="172" spans="2:11" ht="15">
      <c r="B172" s="63"/>
      <c r="C172" s="65"/>
      <c r="D172" s="65"/>
      <c r="E172" s="63"/>
      <c r="F172" s="63"/>
      <c r="G172" s="64"/>
      <c r="H172" s="63"/>
      <c r="I172" s="63"/>
      <c r="J172" s="63"/>
      <c r="K172" s="65"/>
    </row>
    <row r="173" spans="2:1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</row>
    <row r="174" spans="2:1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</row>
    <row r="175" spans="2:1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</row>
    <row r="176" spans="2:11" ht="15">
      <c r="B176" s="63"/>
      <c r="C176" s="63"/>
      <c r="D176" s="63"/>
      <c r="E176" s="63"/>
      <c r="F176" s="63"/>
      <c r="G176" s="64"/>
      <c r="H176" s="63"/>
      <c r="I176" s="64"/>
      <c r="J176" s="63"/>
      <c r="K176" s="65"/>
    </row>
    <row r="177" spans="2:11" ht="15">
      <c r="B177" s="63"/>
      <c r="C177" s="63"/>
      <c r="D177" s="63"/>
      <c r="E177" s="63"/>
      <c r="F177" s="63"/>
      <c r="G177" s="64"/>
      <c r="H177" s="63"/>
      <c r="I177" s="63"/>
      <c r="J177" s="63"/>
      <c r="K177" s="65"/>
    </row>
    <row r="178" spans="2:11" ht="15">
      <c r="B178" s="63"/>
      <c r="C178" s="63"/>
      <c r="D178" s="63"/>
      <c r="E178" s="63"/>
      <c r="F178" s="63"/>
      <c r="G178" s="64"/>
      <c r="H178" s="63"/>
      <c r="I178" s="63"/>
      <c r="J178" s="63"/>
      <c r="K178" s="65"/>
    </row>
    <row r="179" spans="2:11" ht="15">
      <c r="B179" s="63"/>
      <c r="C179" s="63"/>
      <c r="D179" s="63"/>
      <c r="E179" s="63"/>
      <c r="F179" s="63"/>
      <c r="G179" s="64"/>
      <c r="H179" s="63"/>
      <c r="I179" s="63"/>
      <c r="J179" s="63"/>
      <c r="K179" s="65"/>
    </row>
    <row r="180" spans="2:1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</row>
    <row r="181" spans="2:1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</row>
    <row r="182" spans="2:1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</row>
    <row r="183" spans="2:1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</row>
    <row r="184" spans="2:11" ht="15">
      <c r="B184" s="63"/>
      <c r="C184" s="63"/>
      <c r="D184" s="63"/>
      <c r="E184" s="63"/>
      <c r="F184" s="63"/>
      <c r="G184" s="64"/>
      <c r="H184" s="63"/>
      <c r="I184" s="63"/>
      <c r="J184" s="63"/>
      <c r="K184" s="65"/>
    </row>
    <row r="185" spans="2:11" ht="15">
      <c r="B185" s="65"/>
      <c r="C185" s="65"/>
      <c r="D185" s="65"/>
      <c r="E185" s="65"/>
      <c r="F185" s="65"/>
      <c r="G185" s="65"/>
      <c r="H185" s="65"/>
      <c r="I185" s="65"/>
      <c r="J185" s="63"/>
      <c r="K185" s="65"/>
    </row>
    <row r="186" spans="2:11" ht="15">
      <c r="B186" s="65"/>
      <c r="C186" s="65"/>
      <c r="D186" s="65"/>
      <c r="E186" s="65"/>
      <c r="F186" s="65"/>
      <c r="G186" s="74"/>
      <c r="H186" s="65"/>
      <c r="I186" s="65"/>
      <c r="J186" s="63"/>
      <c r="K186" s="65"/>
    </row>
    <row r="187" spans="2:11" ht="15">
      <c r="B187" s="65"/>
      <c r="C187" s="65"/>
      <c r="D187" s="65"/>
      <c r="E187" s="65"/>
      <c r="F187" s="65"/>
      <c r="G187" s="65"/>
      <c r="H187" s="65"/>
      <c r="I187" s="75"/>
      <c r="J187" s="63"/>
      <c r="K187" s="65"/>
    </row>
    <row r="188" spans="2:11" ht="15">
      <c r="B188" s="63"/>
      <c r="C188" s="63"/>
      <c r="D188" s="63"/>
      <c r="E188" s="63"/>
      <c r="F188" s="63"/>
      <c r="G188" s="64"/>
      <c r="H188" s="63"/>
      <c r="I188" s="63"/>
      <c r="J188" s="63"/>
      <c r="K188" s="65"/>
    </row>
    <row r="189" spans="2:1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</row>
    <row r="190" spans="2:1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</row>
    <row r="191" spans="2:1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</row>
    <row r="192" spans="2:1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</row>
    <row r="193" spans="2:11" ht="15">
      <c r="B193" s="63"/>
      <c r="C193" s="63"/>
      <c r="D193" s="63"/>
      <c r="E193" s="63"/>
      <c r="F193" s="63"/>
      <c r="G193" s="64"/>
      <c r="H193" s="63"/>
      <c r="I193" s="63"/>
      <c r="J193" s="63"/>
      <c r="K193" s="65"/>
    </row>
    <row r="194" spans="2:11" ht="15">
      <c r="B194" s="63"/>
      <c r="C194" s="63"/>
      <c r="D194" s="63"/>
      <c r="E194" s="63"/>
      <c r="F194" s="63"/>
      <c r="G194" s="64"/>
      <c r="H194" s="65"/>
      <c r="I194" s="65"/>
      <c r="J194" s="63"/>
      <c r="K194" s="65"/>
    </row>
    <row r="195" spans="2:11" ht="15">
      <c r="B195" s="63"/>
      <c r="C195" s="63"/>
      <c r="D195" s="63"/>
      <c r="E195" s="63"/>
      <c r="F195" s="63"/>
      <c r="G195" s="64"/>
      <c r="H195" s="65"/>
      <c r="I195" s="65"/>
      <c r="J195" s="63"/>
      <c r="K195" s="65"/>
    </row>
    <row r="196" spans="2:11" ht="15">
      <c r="B196" s="63"/>
      <c r="C196" s="63"/>
      <c r="D196" s="63"/>
      <c r="E196" s="63"/>
      <c r="F196" s="63"/>
      <c r="G196" s="64"/>
      <c r="H196" s="65"/>
      <c r="I196" s="65"/>
      <c r="J196" s="63"/>
      <c r="K196" s="65"/>
    </row>
    <row r="197" spans="2:1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</row>
    <row r="198" spans="2:1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</row>
    <row r="199" spans="2:1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</row>
    <row r="200" spans="2:1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</row>
    <row r="201" spans="2:1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</row>
    <row r="202" spans="2:11" ht="15">
      <c r="B202" s="63"/>
      <c r="C202" s="63"/>
      <c r="D202" s="63"/>
      <c r="E202" s="63"/>
      <c r="F202" s="63"/>
      <c r="G202" s="64"/>
      <c r="H202" s="63"/>
      <c r="I202" s="63"/>
      <c r="J202" s="63"/>
      <c r="K202" s="65"/>
    </row>
    <row r="203" spans="2:11" ht="15">
      <c r="B203" s="63"/>
      <c r="C203" s="63"/>
      <c r="D203" s="63"/>
      <c r="E203" s="63"/>
      <c r="F203" s="63"/>
      <c r="G203" s="64"/>
      <c r="H203" s="65"/>
      <c r="I203" s="65"/>
      <c r="J203" s="63"/>
      <c r="K203" s="65"/>
    </row>
    <row r="204" spans="2:11" ht="15">
      <c r="B204" s="63"/>
      <c r="C204" s="63"/>
      <c r="D204" s="63"/>
      <c r="E204" s="63"/>
      <c r="F204" s="63"/>
      <c r="G204" s="64"/>
      <c r="H204" s="65"/>
      <c r="I204" s="65"/>
      <c r="J204" s="63"/>
      <c r="K204" s="65"/>
    </row>
    <row r="205" spans="2:11" ht="15">
      <c r="B205" s="63"/>
      <c r="C205" s="63"/>
      <c r="D205" s="63"/>
      <c r="E205" s="63"/>
      <c r="F205" s="63"/>
      <c r="G205" s="64"/>
      <c r="H205" s="65"/>
      <c r="I205" s="65"/>
      <c r="J205" s="63"/>
      <c r="K205" s="65"/>
    </row>
    <row r="206" spans="2:1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</row>
    <row r="207" spans="2:1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</row>
    <row r="208" spans="2:1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</row>
    <row r="209" spans="2:1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</row>
    <row r="210" spans="2:1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</row>
    <row r="211" spans="2:1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</row>
    <row r="212" spans="2:1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</row>
    <row r="213" spans="2:1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</row>
    <row r="214" spans="2:1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</row>
    <row r="215" spans="2:1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</row>
    <row r="216" spans="2:1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</row>
    <row r="217" spans="2:1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</row>
    <row r="218" spans="2:1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</row>
    <row r="219" spans="2:1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</row>
    <row r="220" spans="2:1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</row>
    <row r="221" spans="2:1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</row>
    <row r="222" spans="2:1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</row>
    <row r="223" spans="2:1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</row>
    <row r="224" spans="2:1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</row>
    <row r="225" spans="2:1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</row>
    <row r="226" spans="2:1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</row>
    <row r="227" spans="2:1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</row>
    <row r="228" spans="2:1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</row>
    <row r="229" spans="2:1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</row>
    <row r="230" spans="2:1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</row>
    <row r="231" spans="2:1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</row>
    <row r="232" spans="2:1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</row>
    <row r="233" spans="2:1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</row>
    <row r="234" spans="2:1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</row>
    <row r="235" spans="2:1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</row>
    <row r="236" spans="2:1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</row>
    <row r="237" spans="2:1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</row>
    <row r="238" spans="2:1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</row>
    <row r="239" spans="2:1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</row>
    <row r="240" spans="2:1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</row>
    <row r="241" spans="2:1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</row>
    <row r="242" spans="2:1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</row>
    <row r="243" spans="2:1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</row>
    <row r="244" spans="2:1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</row>
    <row r="245" spans="2:1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</row>
    <row r="246" spans="2:1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</row>
    <row r="247" spans="2:1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</row>
    <row r="248" spans="2:1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</row>
    <row r="249" spans="2:1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</row>
    <row r="250" spans="2:1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</row>
    <row r="251" spans="2:1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</row>
    <row r="252" spans="2:1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</row>
    <row r="253" spans="2:1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</row>
    <row r="254" spans="2:1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</row>
    <row r="255" spans="2:1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</row>
    <row r="256" spans="2:1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</row>
    <row r="257" spans="2:1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</row>
    <row r="258" spans="2:1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</row>
    <row r="259" spans="2:1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</row>
    <row r="260" spans="2:1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</row>
    <row r="261" spans="2:1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</row>
    <row r="262" spans="2:1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</row>
    <row r="263" spans="2:1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</row>
    <row r="264" spans="2:1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</row>
    <row r="265" spans="2:1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</row>
    <row r="266" spans="2:1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</row>
    <row r="267" spans="2:1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</row>
    <row r="268" spans="2:1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</row>
    <row r="269" spans="2:1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</row>
    <row r="270" spans="2:1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</row>
    <row r="271" spans="2:1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</row>
    <row r="272" spans="2:1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</row>
    <row r="273" spans="2:1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</row>
    <row r="274" spans="2:1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</row>
    <row r="275" spans="2:1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</row>
    <row r="276" spans="2:1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</row>
    <row r="277" spans="2:1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</row>
    <row r="278" spans="2:1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</row>
    <row r="279" spans="2:1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</row>
    <row r="280" spans="2:1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</row>
    <row r="281" spans="2:1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</row>
    <row r="282" spans="2:1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</row>
    <row r="283" spans="2:1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</row>
    <row r="284" spans="2:1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</row>
    <row r="285" spans="2:1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</row>
    <row r="286" spans="2:1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</row>
    <row r="287" spans="2:1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</row>
    <row r="288" spans="2:1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</row>
    <row r="289" spans="2:1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</row>
    <row r="290" spans="2:1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</row>
    <row r="291" spans="2:1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</row>
    <row r="292" spans="2:1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</row>
    <row r="293" spans="2:1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</row>
    <row r="294" spans="2:1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</row>
    <row r="295" spans="2:1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</row>
    <row r="296" spans="2:1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</row>
    <row r="297" spans="2:1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</row>
    <row r="298" spans="2:1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</row>
    <row r="299" spans="2:1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</row>
    <row r="300" spans="2:1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</row>
    <row r="301" spans="2:1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</row>
    <row r="302" spans="2:11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</row>
    <row r="303" spans="2:11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</row>
    <row r="304" spans="2:11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</row>
    <row r="305" spans="2:11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</row>
    <row r="306" spans="2:11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</row>
    <row r="307" spans="2:11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</row>
    <row r="308" spans="2:11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</row>
    <row r="309" spans="2:11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</row>
    <row r="310" spans="2:11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</row>
    <row r="311" spans="2:11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</row>
    <row r="312" spans="2:11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</row>
    <row r="313" spans="2:11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</row>
    <row r="314" spans="2:11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</row>
    <row r="315" spans="2:11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</row>
    <row r="316" spans="2:11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</row>
    <row r="317" spans="2:11" ht="15">
      <c r="B317" s="63"/>
      <c r="C317" s="63"/>
      <c r="D317" s="63"/>
      <c r="E317" s="63"/>
      <c r="F317" s="63"/>
      <c r="G317" s="64"/>
      <c r="H317" s="63"/>
      <c r="I317" s="63"/>
      <c r="J317" s="63"/>
      <c r="K317" s="65"/>
    </row>
    <row r="318" spans="2:11" ht="15">
      <c r="B318" s="63"/>
      <c r="C318" s="63"/>
      <c r="D318" s="63"/>
      <c r="E318" s="63"/>
      <c r="F318" s="63"/>
      <c r="G318" s="64"/>
      <c r="H318" s="63"/>
      <c r="I318" s="63"/>
      <c r="J318" s="63"/>
      <c r="K318" s="65"/>
    </row>
    <row r="319" spans="2:11" ht="15">
      <c r="B319" s="63"/>
      <c r="C319" s="63"/>
      <c r="D319" s="63"/>
      <c r="E319" s="63"/>
      <c r="F319" s="63"/>
      <c r="G319" s="64"/>
      <c r="H319" s="63"/>
      <c r="I319" s="63"/>
      <c r="J319" s="63"/>
      <c r="K319" s="65"/>
    </row>
    <row r="320" spans="2:11" ht="15">
      <c r="B320" s="63"/>
      <c r="C320" s="63"/>
      <c r="D320" s="63"/>
      <c r="E320" s="63"/>
      <c r="F320" s="63"/>
      <c r="G320" s="64"/>
      <c r="H320" s="63"/>
      <c r="I320" s="63"/>
      <c r="J320" s="63"/>
      <c r="K320" s="65"/>
    </row>
    <row r="321" spans="2:11" ht="15">
      <c r="B321" s="63"/>
      <c r="C321" s="63"/>
      <c r="D321" s="63"/>
      <c r="E321" s="63"/>
      <c r="F321" s="63"/>
      <c r="G321" s="64"/>
      <c r="H321" s="63"/>
      <c r="I321" s="63"/>
      <c r="J321" s="63"/>
      <c r="K321" s="65"/>
    </row>
    <row r="322" spans="2:11" ht="15">
      <c r="B322" s="63"/>
      <c r="C322" s="63"/>
      <c r="D322" s="63"/>
      <c r="E322" s="63"/>
      <c r="F322" s="63"/>
      <c r="G322" s="64"/>
      <c r="H322" s="63"/>
      <c r="I322" s="63"/>
      <c r="J322" s="63"/>
      <c r="K322" s="65"/>
    </row>
    <row r="323" spans="2:11" ht="15">
      <c r="B323" s="63"/>
      <c r="C323" s="63"/>
      <c r="D323" s="63"/>
      <c r="E323" s="63"/>
      <c r="F323" s="63"/>
      <c r="G323" s="64"/>
      <c r="H323" s="63"/>
      <c r="I323" s="63"/>
      <c r="J323" s="63"/>
      <c r="K323" s="65"/>
    </row>
    <row r="324" spans="2:11" ht="15">
      <c r="B324" s="63"/>
      <c r="C324" s="63"/>
      <c r="D324" s="63"/>
      <c r="E324" s="63"/>
      <c r="F324" s="63"/>
      <c r="G324" s="64"/>
      <c r="H324" s="63"/>
      <c r="I324" s="63"/>
      <c r="J324" s="63"/>
      <c r="K324" s="65"/>
    </row>
    <row r="325" spans="2:11" ht="15">
      <c r="B325" s="63"/>
      <c r="C325" s="63"/>
      <c r="D325" s="63"/>
      <c r="E325" s="63"/>
      <c r="F325" s="63"/>
      <c r="G325" s="64"/>
      <c r="H325" s="63"/>
      <c r="I325" s="63"/>
      <c r="J325" s="63"/>
      <c r="K325" s="65"/>
    </row>
    <row r="326" spans="2:11" ht="15">
      <c r="B326" s="63"/>
      <c r="C326" s="63"/>
      <c r="D326" s="63"/>
      <c r="E326" s="63"/>
      <c r="F326" s="63"/>
      <c r="G326" s="64"/>
      <c r="H326" s="63"/>
      <c r="I326" s="63"/>
      <c r="J326" s="63"/>
      <c r="K326" s="65"/>
    </row>
    <row r="327" spans="2:11" ht="15">
      <c r="B327" s="63"/>
      <c r="C327" s="63"/>
      <c r="D327" s="63"/>
      <c r="E327" s="63"/>
      <c r="F327" s="63"/>
      <c r="G327" s="64"/>
      <c r="H327" s="63"/>
      <c r="I327" s="63"/>
      <c r="J327" s="63"/>
      <c r="K327" s="65"/>
    </row>
    <row r="328" spans="2:11" ht="15">
      <c r="B328" s="63"/>
      <c r="C328" s="63"/>
      <c r="D328" s="63"/>
      <c r="E328" s="63"/>
      <c r="F328" s="63"/>
      <c r="G328" s="64"/>
      <c r="H328" s="63"/>
      <c r="I328" s="63"/>
      <c r="J328" s="63"/>
      <c r="K328" s="65"/>
    </row>
    <row r="329" spans="2:11" ht="15">
      <c r="B329" s="63"/>
      <c r="C329" s="63"/>
      <c r="D329" s="63"/>
      <c r="E329" s="63"/>
      <c r="F329" s="63"/>
      <c r="G329" s="64"/>
      <c r="H329" s="63"/>
      <c r="I329" s="63"/>
      <c r="J329" s="63"/>
      <c r="K329" s="65"/>
    </row>
    <row r="330" spans="2:11" ht="15">
      <c r="B330" s="63"/>
      <c r="C330" s="63"/>
      <c r="D330" s="63"/>
      <c r="E330" s="63"/>
      <c r="F330" s="63"/>
      <c r="G330" s="64"/>
      <c r="H330" s="63"/>
      <c r="I330" s="63"/>
      <c r="J330" s="63"/>
      <c r="K330" s="65"/>
    </row>
  </sheetData>
  <sheetProtection/>
  <mergeCells count="116">
    <mergeCell ref="G100:H100"/>
    <mergeCell ref="E73:F73"/>
    <mergeCell ref="I104:J105"/>
    <mergeCell ref="G97:H97"/>
    <mergeCell ref="B104:D105"/>
    <mergeCell ref="D3:H3"/>
    <mergeCell ref="B77:I77"/>
    <mergeCell ref="E79:F79"/>
    <mergeCell ref="E99:F99"/>
    <mergeCell ref="E74:F74"/>
    <mergeCell ref="B109:J109"/>
    <mergeCell ref="E72:F72"/>
    <mergeCell ref="I106:J107"/>
    <mergeCell ref="G106:H107"/>
    <mergeCell ref="B102:J103"/>
    <mergeCell ref="J89:J90"/>
    <mergeCell ref="E104:F105"/>
    <mergeCell ref="B89:I90"/>
    <mergeCell ref="B96:D97"/>
    <mergeCell ref="B82:D82"/>
    <mergeCell ref="E96:J96"/>
    <mergeCell ref="E63:F63"/>
    <mergeCell ref="E64:F64"/>
    <mergeCell ref="E65:F65"/>
    <mergeCell ref="E69:F69"/>
    <mergeCell ref="E70:F70"/>
    <mergeCell ref="E71:F71"/>
    <mergeCell ref="E67:F67"/>
    <mergeCell ref="E68:F68"/>
    <mergeCell ref="E66:F66"/>
    <mergeCell ref="B84:D84"/>
    <mergeCell ref="E85:F85"/>
    <mergeCell ref="B75:I75"/>
    <mergeCell ref="E82:F82"/>
    <mergeCell ref="G98:H98"/>
    <mergeCell ref="E83:F83"/>
    <mergeCell ref="E84:F84"/>
    <mergeCell ref="B87:I87"/>
    <mergeCell ref="E86:F86"/>
    <mergeCell ref="B98:D98"/>
    <mergeCell ref="G99:H99"/>
    <mergeCell ref="B138:C138"/>
    <mergeCell ref="B83:D83"/>
    <mergeCell ref="B100:D100"/>
    <mergeCell ref="E97:F97"/>
    <mergeCell ref="E106:F107"/>
    <mergeCell ref="B86:D86"/>
    <mergeCell ref="B106:D107"/>
    <mergeCell ref="E98:F98"/>
    <mergeCell ref="B85:D85"/>
    <mergeCell ref="E21:F21"/>
    <mergeCell ref="G104:H105"/>
    <mergeCell ref="B94:J94"/>
    <mergeCell ref="I98:J98"/>
    <mergeCell ref="B95:J95"/>
    <mergeCell ref="B99:D99"/>
    <mergeCell ref="I99:J99"/>
    <mergeCell ref="E100:F100"/>
    <mergeCell ref="I97:J97"/>
    <mergeCell ref="I100:J100"/>
    <mergeCell ref="B34:I34"/>
    <mergeCell ref="E36:F36"/>
    <mergeCell ref="B2:J2"/>
    <mergeCell ref="B12:E12"/>
    <mergeCell ref="G12:J12"/>
    <mergeCell ref="D4:H4"/>
    <mergeCell ref="B21:D21"/>
    <mergeCell ref="D6:J6"/>
    <mergeCell ref="E20:F20"/>
    <mergeCell ref="B14:D14"/>
    <mergeCell ref="E61:F61"/>
    <mergeCell ref="E51:F51"/>
    <mergeCell ref="E37:F37"/>
    <mergeCell ref="B46:D46"/>
    <mergeCell ref="E46:F46"/>
    <mergeCell ref="E28:F28"/>
    <mergeCell ref="B44:I44"/>
    <mergeCell ref="E29:F29"/>
    <mergeCell ref="E30:F30"/>
    <mergeCell ref="B36:D36"/>
    <mergeCell ref="E56:F56"/>
    <mergeCell ref="E43:F43"/>
    <mergeCell ref="E62:F62"/>
    <mergeCell ref="E39:F39"/>
    <mergeCell ref="E40:F40"/>
    <mergeCell ref="E41:F41"/>
    <mergeCell ref="E48:F48"/>
    <mergeCell ref="E49:F49"/>
    <mergeCell ref="E50:F50"/>
    <mergeCell ref="E47:F47"/>
    <mergeCell ref="E60:F60"/>
    <mergeCell ref="E22:F22"/>
    <mergeCell ref="E23:F23"/>
    <mergeCell ref="E24:F24"/>
    <mergeCell ref="E25:F25"/>
    <mergeCell ref="E26:F26"/>
    <mergeCell ref="E52:F52"/>
    <mergeCell ref="E53:F53"/>
    <mergeCell ref="E54:F54"/>
    <mergeCell ref="E55:F55"/>
    <mergeCell ref="E38:F38"/>
    <mergeCell ref="E33:F33"/>
    <mergeCell ref="E32:F32"/>
    <mergeCell ref="E31:F31"/>
    <mergeCell ref="E27:F27"/>
    <mergeCell ref="B110:J110"/>
    <mergeCell ref="E42:F42"/>
    <mergeCell ref="E57:F57"/>
    <mergeCell ref="E58:F58"/>
    <mergeCell ref="E59:F59"/>
    <mergeCell ref="B111:J111"/>
    <mergeCell ref="B112:J112"/>
    <mergeCell ref="B113:J113"/>
    <mergeCell ref="B114:J114"/>
    <mergeCell ref="B115:J115"/>
    <mergeCell ref="B116:J11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5" sqref="E5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73</v>
      </c>
      <c r="C1" s="47">
        <v>10000</v>
      </c>
    </row>
    <row r="2" spans="2:3" ht="15">
      <c r="B2" s="44" t="s">
        <v>74</v>
      </c>
      <c r="C2" s="140">
        <f>((rendimiento-$C$1)/$C$1)+1</f>
        <v>1</v>
      </c>
    </row>
    <row r="3" ht="18">
      <c r="B3" s="13"/>
    </row>
    <row r="4" spans="2:12" ht="18">
      <c r="B4" s="320" t="s">
        <v>33</v>
      </c>
      <c r="C4" s="320"/>
      <c r="E4" s="3" t="s">
        <v>78</v>
      </c>
      <c r="K4" s="142"/>
      <c r="L4" s="10"/>
    </row>
    <row r="5" spans="1:5" ht="18">
      <c r="A5" s="143" t="s">
        <v>75</v>
      </c>
      <c r="B5" s="144" t="s">
        <v>98</v>
      </c>
      <c r="C5" s="145"/>
      <c r="D5" s="145"/>
      <c r="E5" s="146">
        <f>10000/80</f>
        <v>125</v>
      </c>
    </row>
    <row r="6" spans="1:5" ht="18">
      <c r="A6" s="143" t="s">
        <v>75</v>
      </c>
      <c r="B6" s="144" t="s">
        <v>100</v>
      </c>
      <c r="C6" s="147"/>
      <c r="D6" s="147"/>
      <c r="E6" s="146">
        <f>10000/80</f>
        <v>125</v>
      </c>
    </row>
    <row r="7" spans="1:5" ht="18">
      <c r="A7" s="143" t="s">
        <v>75</v>
      </c>
      <c r="B7" s="144"/>
      <c r="C7" s="147"/>
      <c r="D7" s="147"/>
      <c r="E7" s="146"/>
    </row>
    <row r="8" spans="1:5" ht="18">
      <c r="A8" s="148" t="s">
        <v>76</v>
      </c>
      <c r="B8" s="149" t="s">
        <v>140</v>
      </c>
      <c r="C8" s="151"/>
      <c r="D8" s="151"/>
      <c r="E8" s="146">
        <f>10000/80</f>
        <v>125</v>
      </c>
    </row>
    <row r="9" spans="1:5" ht="18">
      <c r="A9" s="148" t="s">
        <v>76</v>
      </c>
      <c r="B9" s="149"/>
      <c r="C9" s="151"/>
      <c r="D9" s="151"/>
      <c r="E9" s="146"/>
    </row>
    <row r="10" spans="1:5" ht="18">
      <c r="A10" s="148" t="s">
        <v>76</v>
      </c>
      <c r="B10" s="149"/>
      <c r="C10" s="150"/>
      <c r="D10" s="150"/>
      <c r="E10" s="146"/>
    </row>
    <row r="11" spans="1:5" ht="18">
      <c r="A11" s="143" t="s">
        <v>77</v>
      </c>
      <c r="B11" s="144"/>
      <c r="C11" s="145"/>
      <c r="D11" s="145"/>
      <c r="E11" s="146"/>
    </row>
    <row r="12" spans="1:5" ht="18">
      <c r="A12" s="143" t="s">
        <v>77</v>
      </c>
      <c r="B12" s="144"/>
      <c r="C12" s="145"/>
      <c r="D12" s="145"/>
      <c r="E12" s="146"/>
    </row>
    <row r="13" spans="1:5" ht="18">
      <c r="A13" s="143" t="s">
        <v>77</v>
      </c>
      <c r="B13" s="144"/>
      <c r="C13" s="152"/>
      <c r="D13" s="152"/>
      <c r="E13" s="146"/>
    </row>
    <row r="18" spans="2:4" ht="15">
      <c r="B18" s="321" t="s">
        <v>29</v>
      </c>
      <c r="C18" s="321"/>
      <c r="D18" s="321"/>
    </row>
    <row r="20" spans="2:4" ht="18">
      <c r="B20" s="46" t="s">
        <v>31</v>
      </c>
      <c r="C20" s="45">
        <f>sandia!B98</f>
        <v>9000</v>
      </c>
      <c r="D20" s="45">
        <f>sandia!B100</f>
        <v>11000</v>
      </c>
    </row>
    <row r="21" ht="15">
      <c r="B21" s="21"/>
    </row>
    <row r="22" spans="2:4" ht="15">
      <c r="B22" s="44" t="s">
        <v>32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5"/>
      <c r="C23" s="45"/>
      <c r="D23" s="45"/>
    </row>
    <row r="24" spans="2:6" ht="18">
      <c r="B24" s="46" t="s">
        <v>19</v>
      </c>
      <c r="C24" s="45"/>
      <c r="D24" s="45"/>
      <c r="E24" s="10"/>
      <c r="F24" s="10"/>
    </row>
    <row r="25" spans="2:5" ht="18">
      <c r="B25" s="15" t="s">
        <v>35</v>
      </c>
      <c r="C25" s="10">
        <f>SUM(sandia!J22:J33)-_xlfn.IFERROR(INDEX(sandia!$J$22:$J$33,MATCH(B5,sandia!$B$22:$B$33,0)),"0")-_xlfn.IFERROR(INDEX(sandia!$J$22:$J$33,MATCH(B6,sandia!$B$22:$B$33,0)),"0")-_xlfn.IFERROR(INDEX(sandia!$J$22:$J$33,MATCH(B7,sandia!$B$22:$B$33,0)),"0")</f>
        <v>845000</v>
      </c>
      <c r="D25" s="10">
        <f>SUM(sandia!J22:J33)-_xlfn.IFERROR(INDEX(sandia!$J$22:$J$33,MATCH(B5,sandia!$B$22:$B$33,0)),"0")-_xlfn.IFERROR(INDEX(sandia!$J$22:$J$33,MATCH(B6,sandia!$B$22:$B$33,0)),"0")-_xlfn.IFERROR(INDEX(sandia!$J$22:$J$33,MATCH(B7,sandia!$B$22:$B$33,0)),"0")</f>
        <v>845000</v>
      </c>
      <c r="E25" s="10"/>
    </row>
    <row r="26" spans="2:4" ht="18">
      <c r="B26" s="48" t="s">
        <v>36</v>
      </c>
      <c r="C26" s="141">
        <f>C22*(_xlfn.IFERROR(INDEX(sandia!$J$22:$J$33,MATCH(B5,sandia!$B$22:$B$33,0)),"0")+_xlfn.IFERROR(INDEX(sandia!$J$22:$J$33,MATCH(B6,sandia!$B$22:$B$33,0)),"0")+_xlfn.IFERROR(INDEX(sandia!$J$22:$J$33,MATCH(B7,sandia!$B$22:$B$33,0)),"0"))</f>
        <v>821250</v>
      </c>
      <c r="D26" s="141">
        <f>D22*(_xlfn.IFERROR(INDEX(sandia!$J$22:$J$33,MATCH(B5,sandia!$B$22:$B$33,0)),"0")+_xlfn.IFERROR(INDEX(sandia!$J$22:$J$33,MATCH(B6,sandia!$B$22:$B$33,0)),"0")+_xlfn.IFERROR(INDEX(sandia!$J$22:$J$33,MATCH(B7,sandia!$B$22:$B$33,0)),"0"))</f>
        <v>1003750.0000000001</v>
      </c>
    </row>
    <row r="27" spans="2:4" ht="18">
      <c r="B27" s="15" t="s">
        <v>37</v>
      </c>
      <c r="C27" s="10">
        <f>SUM(C25:C26)</f>
        <v>1666250</v>
      </c>
      <c r="D27" s="10">
        <f>SUM(D25:D26)</f>
        <v>1848750</v>
      </c>
    </row>
    <row r="28" ht="18">
      <c r="B28" s="15"/>
    </row>
    <row r="29" ht="18">
      <c r="B29" s="46" t="s">
        <v>21</v>
      </c>
    </row>
    <row r="30" spans="2:4" ht="18">
      <c r="B30" s="15" t="s">
        <v>35</v>
      </c>
      <c r="C30" s="10">
        <f>SUM(sandia!J37:J43)-_xlfn.IFERROR(INDEX(sandia!$J$37:$J$43,MATCH(B8,sandia!$B$37:$B$43,0)),"0")-_xlfn.IFERROR(INDEX(sandia!$J$37:$J$43,MATCH(B9,sandia!$B$37:$B$43,0)),"0")-_xlfn.IFERROR(INDEX(sandia!$J$37:$J$43,MATCH(B10,sandia!$B$37:$B$43,0)),"0")</f>
        <v>342000</v>
      </c>
      <c r="D30" s="10">
        <f>SUM(sandia!J37:J43)-_xlfn.IFERROR(INDEX(sandia!$J$37:$J$43,MATCH(B8,sandia!$B$37:$B$43,0)),"0")-_xlfn.IFERROR(INDEX(sandia!$J$37:$J$43,MATCH(B9,sandia!$B$37:$B$43,0)),"0")-_xlfn.IFERROR(INDEX(sandia!$J$37:$J$43,MATCH(B10,sandia!$B$37:$B$43,0)),"0")</f>
        <v>342000</v>
      </c>
    </row>
    <row r="31" spans="2:4" ht="18">
      <c r="B31" s="48" t="s">
        <v>36</v>
      </c>
      <c r="C31" s="141">
        <f>C22*(_xlfn.IFERROR(INDEX(sandia!$J$37:$J$43,MATCH(B8,sandia!$B$37:$B$43,0)),"0")+_xlfn.IFERROR(INDEX(sandia!$J$37:$J$43,MATCH(B9,sandia!$B$37:$B$43,0)),"0")+_xlfn.IFERROR(INDEX(sandia!$J$37:$J$43,MATCH(B10,sandia!$B$37:$B$43,0)),"0"))</f>
        <v>225000</v>
      </c>
      <c r="D31" s="141">
        <f>D22*(_xlfn.IFERROR(INDEX(sandia!$J$37:$J$43,MATCH(B8,sandia!$B$37:$B$43,0)),"0")+_xlfn.IFERROR(INDEX(sandia!$J$37:$J$43,MATCH(B9,sandia!$B$37:$B$43,0)),"0")+_xlfn.IFERROR(INDEX(sandia!$J$37:$J$43,MATCH(B10,sandia!$B$37:$B$43,0)),"0"))</f>
        <v>275000</v>
      </c>
    </row>
    <row r="32" spans="2:4" ht="18">
      <c r="B32" s="15" t="s">
        <v>37</v>
      </c>
      <c r="C32" s="10">
        <f>SUM(C30:C31)</f>
        <v>567000</v>
      </c>
      <c r="D32" s="10">
        <f>SUM(D30:D31)</f>
        <v>617000</v>
      </c>
    </row>
    <row r="34" ht="18">
      <c r="B34" s="46" t="s">
        <v>38</v>
      </c>
    </row>
    <row r="35" spans="2:4" ht="18">
      <c r="B35" s="15" t="s">
        <v>35</v>
      </c>
      <c r="C35" s="10">
        <f>SUM(sandia!J47:J74)-_xlfn.IFERROR(INDEX(sandia!$J$47:$J$74,MATCH(B11,sandia!$B$47:$B$74,0)),"0")-_xlfn.IFERROR(INDEX(sandia!$J$47:$J$74,MATCH(B12,sandia!$B$47:$B$74,0)),"0")-_xlfn.IFERROR(INDEX(sandia!$J$47:$J$74,MATCH(B13,sandia!$B$47:$B$74,0)),"0")</f>
        <v>2876769</v>
      </c>
      <c r="D35" s="10">
        <f>SUM(sandia!J47:J74)-_xlfn.IFERROR(INDEX(sandia!$J$47:$J$74,MATCH(B11,sandia!$B$47:$B$74,0)),"0")-_xlfn.IFERROR(INDEX(sandia!$J$47:$J$74,MATCH(B12,sandia!$B$47:$B$74,0)),"0")-_xlfn.IFERROR(INDEX(sandia!$J$47:$J$74,MATCH(B13,sandia!$B$47:$B$74,0)),"0")</f>
        <v>2876769</v>
      </c>
    </row>
    <row r="36" spans="2:4" ht="18">
      <c r="B36" s="48" t="s">
        <v>36</v>
      </c>
      <c r="C36" s="141">
        <f>C22*(_xlfn.IFERROR(INDEX(sandia!$J$47:$J$74,MATCH(B11,sandia!$B$47:$B$74,0)),"0")+_xlfn.IFERROR(INDEX(sandia!$J$47:$J$74,MATCH(B12,sandia!$B$47:$B$74,0)),"0")+_xlfn.IFERROR(INDEX(sandia!$J$47:$J$74,MATCH(B13,sandia!$B$47:$B$74,0)),"0"))</f>
        <v>0</v>
      </c>
      <c r="D36" s="141">
        <f>D22*(_xlfn.IFERROR(INDEX(sandia!$J$47:$J$74,MATCH(B11,sandia!$B$47:$B$74,0)),"0")+_xlfn.IFERROR(INDEX(sandia!$J$47:$J$74,MATCH(B12,sandia!$B$47:$B$74,0)),"0")+_xlfn.IFERROR(INDEX(sandia!$J$47:$J$74,MATCH(B13,sandia!$B$47:$B$74,0)),"0"))</f>
        <v>0</v>
      </c>
    </row>
    <row r="37" spans="2:4" ht="18">
      <c r="B37" s="15" t="s">
        <v>37</v>
      </c>
      <c r="C37" s="10">
        <f>SUM(C35:C36)</f>
        <v>2876769</v>
      </c>
      <c r="D37" s="10">
        <f>SUM(D35:D36)</f>
        <v>2876769</v>
      </c>
    </row>
    <row r="38" spans="2:4" ht="15">
      <c r="B38" s="21"/>
      <c r="C38" s="25"/>
      <c r="D38" s="25"/>
    </row>
    <row r="39" spans="2:4" ht="18">
      <c r="B39" s="50" t="s">
        <v>39</v>
      </c>
      <c r="C39" s="51">
        <f>C27+C32+C37</f>
        <v>5110019</v>
      </c>
      <c r="D39" s="51">
        <f>D27+D32+D37</f>
        <v>5342519</v>
      </c>
    </row>
    <row r="40" ht="15">
      <c r="B40" s="21"/>
    </row>
    <row r="41" spans="2:4" ht="18">
      <c r="B41" s="49" t="s">
        <v>0</v>
      </c>
      <c r="C41" s="10">
        <f>C39*sandia!$G$79</f>
        <v>255500.95</v>
      </c>
      <c r="D41" s="10">
        <f>D39*sandia!$G$79</f>
        <v>267125.95</v>
      </c>
    </row>
    <row r="42" spans="2:4" ht="18">
      <c r="B42" s="49" t="s">
        <v>25</v>
      </c>
      <c r="C42" s="10">
        <f>C39*tasa_interes_mensual*meses_financiamiento*0.5</f>
        <v>229950.855</v>
      </c>
      <c r="D42" s="10">
        <f>D39*tasa_interes_mensual*meses_financiamiento*0.5</f>
        <v>240413.355</v>
      </c>
    </row>
    <row r="43" ht="15">
      <c r="B43" s="21"/>
    </row>
    <row r="44" spans="2:4" ht="18">
      <c r="B44" s="50" t="s">
        <v>28</v>
      </c>
      <c r="C44" s="51">
        <f>C39+C41+C42</f>
        <v>5595470.805000001</v>
      </c>
      <c r="D44" s="51">
        <f>D39+D41+D42</f>
        <v>5850058.305000001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>oct2017</cp:keywords>
  <dc:description/>
  <cp:lastModifiedBy>David Cohen Pacini</cp:lastModifiedBy>
  <cp:lastPrinted>2015-05-12T14:57:36Z</cp:lastPrinted>
  <dcterms:created xsi:type="dcterms:W3CDTF">2012-07-09T18:51:50Z</dcterms:created>
  <dcterms:modified xsi:type="dcterms:W3CDTF">2017-10-23T22:08:26Z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