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40" windowWidth="17175" windowHeight="7020" activeTab="0"/>
  </bookViews>
  <sheets>
    <sheet name="Ficha" sheetId="1" r:id="rId1"/>
    <sheet name="Hoja1" sheetId="2" r:id="rId2"/>
  </sheets>
  <definedNames>
    <definedName name="_xlnm.Print_Area" localSheetId="0">'Ficha'!$A$1:$K$99</definedName>
  </definedNames>
  <calcPr fullCalcOnLoad="1"/>
</workbook>
</file>

<file path=xl/sharedStrings.xml><?xml version="1.0" encoding="utf-8"?>
<sst xmlns="http://schemas.openxmlformats.org/spreadsheetml/2006/main" count="164" uniqueCount="120">
  <si>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</si>
  <si>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</si>
  <si>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</si>
  <si>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</si>
  <si>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</si>
  <si>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</si>
  <si>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</si>
  <si>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</si>
  <si>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</si>
  <si>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</si>
  <si>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</si>
  <si>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</si>
  <si>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</si>
  <si>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</si>
  <si>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</si>
  <si>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</si>
  <si>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</si>
  <si>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</si>
  <si>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</si>
  <si>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</si>
  <si>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</si>
  <si>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</si>
  <si>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</si>
  <si>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</si>
  <si>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</si>
  <si>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</si>
  <si>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</si>
  <si>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</si>
  <si>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</si>
  <si>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</si>
  <si>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</si>
  <si>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</si>
  <si>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</si>
  <si>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</si>
  <si>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</si>
  <si>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</si>
  <si>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</si>
  <si>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</si>
  <si>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</si>
  <si>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</si>
  <si>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</si>
  <si>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</si>
  <si>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</si>
  <si>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</si>
  <si>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</si>
  <si>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</si>
  <si>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Régimen hídrico: por surco</t>
  </si>
  <si>
    <t>Aplicación fertilizantes</t>
  </si>
  <si>
    <t xml:space="preserve">        </t>
  </si>
  <si>
    <t>Parámetros generales:</t>
  </si>
  <si>
    <t>ha</t>
  </si>
  <si>
    <t>Acarreo de insumos</t>
  </si>
  <si>
    <t>Tipo de producción: consumo fresco</t>
  </si>
  <si>
    <t xml:space="preserve">Tecnología: media </t>
  </si>
  <si>
    <t>Riego</t>
  </si>
  <si>
    <t>Aplicación agroquímicos</t>
  </si>
  <si>
    <t>Cosechas</t>
  </si>
  <si>
    <t>Septiembre-octubre</t>
  </si>
  <si>
    <t>Surco de riego definitivo</t>
  </si>
  <si>
    <t>Acarreo de cosecha</t>
  </si>
  <si>
    <t>Octubre-enero</t>
  </si>
  <si>
    <t>Zapallo camote de guarda</t>
  </si>
  <si>
    <t>Siembra</t>
  </si>
  <si>
    <t>Septiembre</t>
  </si>
  <si>
    <t>Precio ($/Kg)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</si>
  <si>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</si>
  <si>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</si>
  <si>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</si>
  <si>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</si>
  <si>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</si>
  <si>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</si>
  <si>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</si>
  <si>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</si>
  <si>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Fecha cosecha: marzo-abril</t>
  </si>
  <si>
    <t>Octubre-febrero</t>
  </si>
  <si>
    <t>Marzo-abril</t>
  </si>
  <si>
    <t>Octubre-diciembre</t>
  </si>
  <si>
    <t>Noviembre-enero</t>
  </si>
  <si>
    <t>Fertilizantes:</t>
  </si>
  <si>
    <t xml:space="preserve">  Fosfato diamónico</t>
  </si>
  <si>
    <t xml:space="preserve">  Sulfato de Potasio</t>
  </si>
  <si>
    <t>Fungicidas:</t>
  </si>
  <si>
    <t xml:space="preserve">  Manzate</t>
  </si>
  <si>
    <t xml:space="preserve">  Azufre ventilado</t>
  </si>
  <si>
    <t>Insecticidas:</t>
  </si>
  <si>
    <t xml:space="preserve">  Pirimor</t>
  </si>
  <si>
    <t>Otros:</t>
  </si>
  <si>
    <t xml:space="preserve">  Terrasorb foliar</t>
  </si>
  <si>
    <t>Costo oportunidad (arriendo)</t>
  </si>
  <si>
    <t xml:space="preserve">  Análisis de suelo</t>
  </si>
  <si>
    <t>Julio-agosto</t>
  </si>
  <si>
    <t>Región Maule</t>
  </si>
  <si>
    <t>Fecha de siembra: octubre</t>
  </si>
  <si>
    <t>Octubre</t>
  </si>
  <si>
    <t>Densidad (Plantas/ha): 2.000 (5mX1m)</t>
  </si>
  <si>
    <t>Junio-octubre</t>
  </si>
  <si>
    <t>Melgadura</t>
  </si>
  <si>
    <t>Noviembre</t>
  </si>
  <si>
    <t>Cultivadora entre hileras</t>
  </si>
  <si>
    <t xml:space="preserve">Aradura </t>
  </si>
  <si>
    <t>Octubre-Diciembre</t>
  </si>
  <si>
    <t>Cosechas (2)</t>
  </si>
  <si>
    <t>Insumos (3) (c )</t>
  </si>
  <si>
    <t>Margen neto ($/ha) (4)</t>
  </si>
  <si>
    <t>Punto de equilibrio (5)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</si>
  <si>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</si>
  <si>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</si>
  <si>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</si>
  <si>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Control de malezas con azadon y raleo</t>
  </si>
  <si>
    <t xml:space="preserve"> (1) El precio del zapallo para guarda utilizado en el análisis de sensibilidad, corresponde al promedio de la región durante el periodo de cosecha en la temporada 2012-2013 .</t>
  </si>
  <si>
    <t xml:space="preserve">Envolver guías </t>
  </si>
  <si>
    <t>Análisis</t>
  </si>
  <si>
    <t xml:space="preserve">  Semilla corriente</t>
  </si>
  <si>
    <t>Acarreo de cosecha (Coloso con tractor)</t>
  </si>
  <si>
    <t xml:space="preserve">  Zero 5 E C</t>
  </si>
  <si>
    <t xml:space="preserve">  Furadan 10 G (al surco de siembra incorporado)</t>
  </si>
  <si>
    <t xml:space="preserve"> (2) Consiste en cortar, seleccionar y cargar coloso.</t>
  </si>
  <si>
    <t xml:space="preserve">Rastraje: preparación de suelo y entre hileras </t>
  </si>
  <si>
    <t>Variedad: Camote corriente</t>
  </si>
  <si>
    <t>1 ha agosto 2013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</si>
</sst>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&quot;$&quot;\ #,##0"/>
    <numFmt numFmtId="183" formatCode="#,##0_ ;\-#,##0\ "/>
    <numFmt numFmtId="184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45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0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180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80" fontId="7" fillId="0" borderId="0" xfId="67" applyFont="1" applyFill="1" applyAlignment="1" applyProtection="1">
      <alignment/>
      <protection/>
    </xf>
    <xf numFmtId="180" fontId="7" fillId="0" borderId="0" xfId="67" applyFont="1" applyFill="1" applyAlignment="1" applyProtection="1">
      <alignment horizontal="left"/>
      <protection/>
    </xf>
    <xf numFmtId="181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80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81" fontId="9" fillId="0" borderId="0" xfId="67" applyNumberFormat="1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1" xfId="56" applyNumberFormat="1" applyFont="1" applyFill="1" applyBorder="1" applyAlignment="1">
      <alignment/>
      <protection/>
    </xf>
    <xf numFmtId="9" fontId="7" fillId="34" borderId="11" xfId="69" applyFont="1" applyFill="1" applyBorder="1" applyAlignment="1">
      <alignment horizontal="right"/>
    </xf>
    <xf numFmtId="0" fontId="7" fillId="34" borderId="13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4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7" xfId="69" applyFont="1" applyFill="1" applyBorder="1" applyAlignment="1">
      <alignment vertical="center"/>
    </xf>
    <xf numFmtId="3" fontId="7" fillId="34" borderId="17" xfId="56" applyNumberFormat="1" applyFont="1" applyFill="1" applyBorder="1" applyAlignment="1" applyProtection="1">
      <alignment horizontal="right"/>
      <protection/>
    </xf>
    <xf numFmtId="10" fontId="7" fillId="34" borderId="17" xfId="56" applyNumberFormat="1" applyFont="1" applyFill="1" applyBorder="1" applyAlignment="1">
      <alignment horizontal="right"/>
      <protection/>
    </xf>
    <xf numFmtId="3" fontId="7" fillId="34" borderId="17" xfId="56" applyNumberFormat="1" applyFont="1" applyFill="1" applyBorder="1" applyAlignment="1">
      <alignment horizontal="right"/>
      <protection/>
    </xf>
    <xf numFmtId="3" fontId="46" fillId="36" borderId="16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84" fontId="9" fillId="34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1" fontId="9" fillId="34" borderId="14" xfId="56" applyNumberFormat="1" applyFont="1" applyFill="1" applyBorder="1" applyAlignment="1" applyProtection="1">
      <alignment horizontal="right"/>
      <protection/>
    </xf>
    <xf numFmtId="181" fontId="9" fillId="34" borderId="15" xfId="56" applyNumberFormat="1" applyFont="1" applyFill="1" applyBorder="1" applyAlignment="1" applyProtection="1">
      <alignment horizontal="right"/>
      <protection/>
    </xf>
    <xf numFmtId="181" fontId="9" fillId="0" borderId="14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81" fontId="9" fillId="0" borderId="18" xfId="56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181" fontId="9" fillId="34" borderId="20" xfId="56" applyNumberFormat="1" applyFont="1" applyFill="1" applyBorder="1" applyAlignment="1" applyProtection="1">
      <alignment horizontal="right"/>
      <protection/>
    </xf>
    <xf numFmtId="181" fontId="9" fillId="34" borderId="21" xfId="67" applyNumberFormat="1" applyFont="1" applyFill="1" applyBorder="1" applyAlignment="1" applyProtection="1">
      <alignment horizontal="right"/>
      <protection/>
    </xf>
    <xf numFmtId="181" fontId="9" fillId="34" borderId="21" xfId="56" applyNumberFormat="1" applyFont="1" applyFill="1" applyBorder="1" applyAlignment="1" applyProtection="1">
      <alignment horizontal="right"/>
      <protection/>
    </xf>
    <xf numFmtId="181" fontId="9" fillId="34" borderId="21" xfId="67" applyNumberFormat="1" applyFont="1" applyFill="1" applyBorder="1" applyAlignment="1" applyProtection="1">
      <alignment horizontal="right" vertical="center"/>
      <protection/>
    </xf>
    <xf numFmtId="2" fontId="9" fillId="0" borderId="22" xfId="56" applyNumberFormat="1" applyFont="1" applyFill="1" applyBorder="1" applyAlignment="1" applyProtection="1">
      <alignment horizontal="right"/>
      <protection/>
    </xf>
    <xf numFmtId="2" fontId="9" fillId="34" borderId="14" xfId="56" applyNumberFormat="1" applyFont="1" applyFill="1" applyBorder="1" applyAlignment="1" applyProtection="1">
      <alignment horizontal="right"/>
      <protection/>
    </xf>
    <xf numFmtId="2" fontId="9" fillId="0" borderId="14" xfId="56" applyNumberFormat="1" applyFont="1" applyFill="1" applyBorder="1" applyAlignment="1" applyProtection="1">
      <alignment horizontal="right"/>
      <protection/>
    </xf>
    <xf numFmtId="2" fontId="9" fillId="34" borderId="15" xfId="5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39" fillId="37" borderId="17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184" fontId="9" fillId="34" borderId="0" xfId="0" applyNumberFormat="1" applyFont="1" applyFill="1" applyBorder="1" applyAlignment="1">
      <alignment horizontal="center" vertical="center"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181" fontId="9" fillId="34" borderId="19" xfId="67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80" fontId="9" fillId="34" borderId="21" xfId="67" applyFont="1" applyFill="1" applyBorder="1" applyAlignment="1">
      <alignment horizontal="right"/>
      <protection/>
    </xf>
    <xf numFmtId="180" fontId="9" fillId="34" borderId="21" xfId="67" applyFont="1" applyFill="1" applyBorder="1" applyAlignment="1">
      <alignment horizontal="right" vertical="center"/>
      <protection/>
    </xf>
    <xf numFmtId="180" fontId="9" fillId="34" borderId="19" xfId="67" applyFont="1" applyFill="1" applyBorder="1" applyAlignment="1">
      <alignment horizontal="right"/>
      <protection/>
    </xf>
    <xf numFmtId="3" fontId="9" fillId="34" borderId="15" xfId="56" applyNumberFormat="1" applyFont="1" applyFill="1" applyBorder="1" applyAlignment="1" applyProtection="1">
      <alignment horizontal="righ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2" fontId="9" fillId="0" borderId="0" xfId="67" applyNumberFormat="1" applyFont="1" applyFill="1" applyAlignment="1">
      <alignment vertical="center" wrapText="1"/>
      <protection/>
    </xf>
    <xf numFmtId="181" fontId="9" fillId="34" borderId="26" xfId="56" applyNumberFormat="1" applyFont="1" applyFill="1" applyBorder="1" applyAlignment="1" applyProtection="1">
      <alignment horizontal="right"/>
      <protection/>
    </xf>
    <xf numFmtId="181" fontId="9" fillId="34" borderId="25" xfId="56" applyNumberFormat="1" applyFont="1" applyFill="1" applyBorder="1" applyAlignment="1" applyProtection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181" fontId="9" fillId="34" borderId="24" xfId="56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183" fontId="7" fillId="34" borderId="12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12" xfId="55" applyFont="1" applyFill="1" applyBorder="1" applyAlignment="1">
      <alignment horizontal="left"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27" xfId="55" applyFont="1" applyFill="1" applyBorder="1" applyAlignment="1">
      <alignment horizontal="left"/>
      <protection/>
    </xf>
    <xf numFmtId="181" fontId="9" fillId="34" borderId="28" xfId="67" applyNumberFormat="1" applyFont="1" applyFill="1" applyBorder="1" applyAlignment="1">
      <alignment horizontal="center"/>
      <protection/>
    </xf>
    <xf numFmtId="0" fontId="44" fillId="34" borderId="2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4" fillId="34" borderId="27" xfId="0" applyFont="1" applyFill="1" applyBorder="1" applyAlignment="1">
      <alignment/>
    </xf>
    <xf numFmtId="3" fontId="9" fillId="34" borderId="28" xfId="56" applyNumberFormat="1" applyFont="1" applyFill="1" applyBorder="1" applyAlignment="1">
      <alignment/>
      <protection/>
    </xf>
    <xf numFmtId="0" fontId="9" fillId="34" borderId="13" xfId="56" applyFont="1" applyFill="1" applyBorder="1" applyAlignment="1">
      <alignment/>
      <protection/>
    </xf>
    <xf numFmtId="0" fontId="9" fillId="34" borderId="20" xfId="56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3" fontId="9" fillId="0" borderId="26" xfId="67" applyNumberFormat="1" applyFont="1" applyFill="1" applyBorder="1" applyAlignment="1" applyProtection="1">
      <alignment horizontal="right"/>
      <protection/>
    </xf>
    <xf numFmtId="3" fontId="9" fillId="0" borderId="0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6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 applyAlignment="1" applyProtection="1">
      <alignment horizontal="right" vertical="center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7" fillId="34" borderId="25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21" xfId="67" applyNumberFormat="1" applyFont="1" applyFill="1" applyBorder="1" applyAlignment="1" applyProtection="1">
      <alignment horizontal="left"/>
      <protection/>
    </xf>
    <xf numFmtId="0" fontId="7" fillId="34" borderId="25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1" xfId="67" applyNumberFormat="1" applyFont="1" applyFill="1" applyBorder="1" applyAlignment="1" applyProtection="1">
      <alignment horizontal="left" vertical="center" wrapText="1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9" fillId="34" borderId="26" xfId="67" applyNumberFormat="1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3" fontId="9" fillId="0" borderId="25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21" xfId="53" applyNumberFormat="1" applyFont="1" applyFill="1" applyBorder="1" applyAlignment="1">
      <alignment horizontal="left" vertical="top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7" fillId="35" borderId="23" xfId="56" applyFont="1" applyFill="1" applyBorder="1" applyAlignment="1" applyProtection="1">
      <alignment horizontal="left" vertical="center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46" fillId="36" borderId="31" xfId="55" applyFont="1" applyFill="1" applyBorder="1" applyAlignment="1">
      <alignment horizont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4" fontId="46" fillId="36" borderId="34" xfId="56" applyNumberFormat="1" applyFont="1" applyFill="1" applyBorder="1" applyAlignment="1" applyProtection="1">
      <alignment horizontal="center" vertical="center" wrapText="1"/>
      <protection/>
    </xf>
    <xf numFmtId="4" fontId="46" fillId="36" borderId="28" xfId="56" applyNumberFormat="1" applyFont="1" applyFill="1" applyBorder="1" applyAlignment="1" applyProtection="1">
      <alignment horizontal="center" vertical="center" wrapText="1"/>
      <protection/>
    </xf>
    <xf numFmtId="0" fontId="46" fillId="36" borderId="34" xfId="56" applyFont="1" applyFill="1" applyBorder="1" applyAlignment="1" applyProtection="1">
      <alignment horizontal="center" vertical="center" wrapText="1"/>
      <protection/>
    </xf>
    <xf numFmtId="0" fontId="46" fillId="36" borderId="28" xfId="56" applyFont="1" applyFill="1" applyBorder="1" applyAlignment="1" applyProtection="1">
      <alignment horizontal="center" vertical="center" wrapText="1"/>
      <protection/>
    </xf>
    <xf numFmtId="3" fontId="46" fillId="36" borderId="34" xfId="56" applyNumberFormat="1" applyFont="1" applyFill="1" applyBorder="1" applyAlignment="1" applyProtection="1">
      <alignment horizontal="center" vertical="center" wrapText="1"/>
      <protection/>
    </xf>
    <xf numFmtId="3" fontId="46" fillId="36" borderId="28" xfId="56" applyNumberFormat="1" applyFont="1" applyFill="1" applyBorder="1" applyAlignment="1" applyProtection="1">
      <alignment horizontal="center" vertical="center" wrapText="1"/>
      <protection/>
    </xf>
    <xf numFmtId="3" fontId="46" fillId="36" borderId="35" xfId="56" applyNumberFormat="1" applyFont="1" applyFill="1" applyBorder="1" applyAlignment="1" applyProtection="1">
      <alignment horizontal="center" vertical="center"/>
      <protection/>
    </xf>
    <xf numFmtId="3" fontId="46" fillId="36" borderId="13" xfId="56" applyNumberFormat="1" applyFont="1" applyFill="1" applyBorder="1" applyAlignment="1" applyProtection="1">
      <alignment horizontal="center" vertical="center"/>
      <protection/>
    </xf>
    <xf numFmtId="0" fontId="46" fillId="36" borderId="36" xfId="56" applyFont="1" applyFill="1" applyBorder="1" applyAlignment="1" applyProtection="1">
      <alignment horizontal="center" vertical="center"/>
      <protection/>
    </xf>
    <xf numFmtId="0" fontId="46" fillId="36" borderId="34" xfId="56" applyFont="1" applyFill="1" applyBorder="1" applyAlignment="1" applyProtection="1">
      <alignment horizontal="center" vertical="center"/>
      <protection/>
    </xf>
    <xf numFmtId="0" fontId="46" fillId="36" borderId="27" xfId="56" applyFont="1" applyFill="1" applyBorder="1" applyAlignment="1" applyProtection="1">
      <alignment horizontal="center" vertical="center"/>
      <protection/>
    </xf>
    <xf numFmtId="0" fontId="46" fillId="36" borderId="28" xfId="56" applyFont="1" applyFill="1" applyBorder="1" applyAlignment="1" applyProtection="1">
      <alignment horizontal="center" vertic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19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9" fillId="0" borderId="26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 vertical="center"/>
      <protection/>
    </xf>
    <xf numFmtId="180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0" borderId="22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center"/>
      <protection/>
    </xf>
    <xf numFmtId="0" fontId="9" fillId="0" borderId="25" xfId="56" applyFont="1" applyFill="1" applyBorder="1" applyAlignment="1">
      <alignment horizontal="center"/>
      <protection/>
    </xf>
    <xf numFmtId="0" fontId="9" fillId="0" borderId="21" xfId="56" applyFont="1" applyFill="1" applyBorder="1" applyAlignment="1">
      <alignment horizontal="center"/>
      <protection/>
    </xf>
    <xf numFmtId="0" fontId="7" fillId="35" borderId="24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24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9" fillId="0" borderId="22" xfId="56" applyFont="1" applyFill="1" applyBorder="1" applyAlignment="1">
      <alignment horizontal="center"/>
      <protection/>
    </xf>
    <xf numFmtId="0" fontId="9" fillId="0" borderId="20" xfId="56" applyFont="1" applyFill="1" applyBorder="1" applyAlignment="1">
      <alignment horizontal="center"/>
      <protection/>
    </xf>
    <xf numFmtId="0" fontId="9" fillId="34" borderId="24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5" xfId="67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76200</xdr:rowOff>
    </xdr:from>
    <xdr:to>
      <xdr:col>2</xdr:col>
      <xdr:colOff>619125</xdr:colOff>
      <xdr:row>97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3172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7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1.00390625" style="0" customWidth="1"/>
    <col min="5" max="10" width="18.7109375" style="0" customWidth="1"/>
  </cols>
  <sheetData>
    <row r="2" spans="2:10" ht="23.25">
      <c r="B2" s="224" t="s">
        <v>19</v>
      </c>
      <c r="C2" s="224"/>
      <c r="D2" s="224"/>
      <c r="E2" s="224"/>
      <c r="F2" s="224"/>
      <c r="G2" s="224"/>
      <c r="H2" s="224"/>
      <c r="I2" s="224"/>
      <c r="J2" s="224"/>
    </row>
    <row r="3" spans="1:11" ht="19.5">
      <c r="A3" s="7"/>
      <c r="B3" s="7"/>
      <c r="C3" s="4"/>
      <c r="D3" s="4"/>
      <c r="E3" s="226" t="s">
        <v>61</v>
      </c>
      <c r="F3" s="226"/>
      <c r="G3" s="226"/>
      <c r="H3" s="4"/>
      <c r="I3" s="4"/>
      <c r="J3" s="4"/>
      <c r="K3" s="4"/>
    </row>
    <row r="4" spans="1:10" ht="18.75">
      <c r="A4" s="7"/>
      <c r="B4" s="5"/>
      <c r="C4" s="6"/>
      <c r="D4" s="7"/>
      <c r="E4" s="225" t="s">
        <v>91</v>
      </c>
      <c r="F4" s="225"/>
      <c r="G4" s="225"/>
      <c r="H4" s="99"/>
      <c r="I4" s="99"/>
      <c r="J4" s="5"/>
    </row>
    <row r="5" spans="1:10" ht="18.75">
      <c r="A5" s="7"/>
      <c r="B5" s="5"/>
      <c r="C5" s="5"/>
      <c r="D5" s="7"/>
      <c r="E5" s="8"/>
      <c r="F5" s="8"/>
      <c r="G5" s="8"/>
      <c r="H5" s="8"/>
      <c r="I5" s="5"/>
      <c r="J5" s="9"/>
    </row>
    <row r="6" spans="1:10" ht="18.75">
      <c r="A6" s="7"/>
      <c r="B6" s="5"/>
      <c r="C6" s="5"/>
      <c r="D6" s="10" t="s">
        <v>119</v>
      </c>
      <c r="E6" s="5"/>
      <c r="F6" s="5"/>
      <c r="G6" s="9" t="s">
        <v>118</v>
      </c>
      <c r="H6" s="7"/>
      <c r="I6" s="11"/>
      <c r="J6" s="11"/>
    </row>
    <row r="7" spans="1:10" ht="18.75">
      <c r="A7" s="7"/>
      <c r="B7" s="5"/>
      <c r="C7" s="5"/>
      <c r="D7" s="10" t="s">
        <v>46</v>
      </c>
      <c r="E7" s="10"/>
      <c r="F7" s="10"/>
      <c r="G7" s="10" t="s">
        <v>52</v>
      </c>
      <c r="H7" s="7"/>
      <c r="I7" s="12"/>
      <c r="J7" s="12"/>
    </row>
    <row r="8" spans="1:10" ht="18.75">
      <c r="A8" s="7"/>
      <c r="B8" s="5"/>
      <c r="C8" s="5"/>
      <c r="D8" s="10" t="s">
        <v>94</v>
      </c>
      <c r="E8" s="10"/>
      <c r="F8" s="10"/>
      <c r="G8" s="10" t="s">
        <v>53</v>
      </c>
      <c r="H8" s="7"/>
      <c r="I8" s="12"/>
      <c r="J8" s="12"/>
    </row>
    <row r="9" spans="1:12" ht="18.75">
      <c r="A9" s="7"/>
      <c r="B9" s="13"/>
      <c r="C9" s="14"/>
      <c r="D9" s="5" t="s">
        <v>92</v>
      </c>
      <c r="E9" s="15"/>
      <c r="F9" s="15"/>
      <c r="G9" s="5" t="s">
        <v>73</v>
      </c>
      <c r="I9" s="17"/>
      <c r="J9" s="18"/>
      <c r="L9" t="s">
        <v>48</v>
      </c>
    </row>
    <row r="10" spans="1:10" ht="19.5" thickBot="1">
      <c r="A10" s="7"/>
      <c r="B10" s="13"/>
      <c r="C10" s="14"/>
      <c r="D10" s="5"/>
      <c r="E10" s="15"/>
      <c r="F10" s="15"/>
      <c r="G10" s="16"/>
      <c r="H10" s="5"/>
      <c r="I10" s="17"/>
      <c r="J10" s="18"/>
    </row>
    <row r="11" spans="1:10" ht="19.5" thickBot="1">
      <c r="A11" s="7"/>
      <c r="B11" s="170" t="s">
        <v>49</v>
      </c>
      <c r="C11" s="171"/>
      <c r="D11" s="171"/>
      <c r="E11" s="172"/>
      <c r="F11" s="19"/>
      <c r="G11" s="170" t="s">
        <v>25</v>
      </c>
      <c r="H11" s="171"/>
      <c r="I11" s="171"/>
      <c r="J11" s="172"/>
    </row>
    <row r="12" spans="1:10" ht="18.75">
      <c r="A12" s="7"/>
      <c r="B12" s="105" t="s">
        <v>8</v>
      </c>
      <c r="C12" s="106"/>
      <c r="D12" s="107"/>
      <c r="E12" s="21">
        <v>25000</v>
      </c>
      <c r="F12" s="20"/>
      <c r="G12" s="113" t="s">
        <v>21</v>
      </c>
      <c r="H12" s="107"/>
      <c r="I12" s="107"/>
      <c r="J12" s="114">
        <f>J30+J40+J61</f>
        <v>1407671</v>
      </c>
    </row>
    <row r="13" spans="1:10" ht="18.75">
      <c r="A13" s="7"/>
      <c r="B13" s="108" t="s">
        <v>44</v>
      </c>
      <c r="C13" s="106"/>
      <c r="D13" s="107"/>
      <c r="E13" s="21">
        <v>117</v>
      </c>
      <c r="F13" s="20"/>
      <c r="G13" s="113" t="s">
        <v>22</v>
      </c>
      <c r="H13" s="115"/>
      <c r="I13" s="107"/>
      <c r="J13" s="114">
        <f>J30+J40+J61+J71</f>
        <v>1551957.2775</v>
      </c>
    </row>
    <row r="14" spans="1:10" ht="18.75">
      <c r="A14" s="7"/>
      <c r="B14" s="108" t="s">
        <v>20</v>
      </c>
      <c r="C14" s="106"/>
      <c r="D14" s="107"/>
      <c r="E14" s="21">
        <v>11000</v>
      </c>
      <c r="F14" s="20"/>
      <c r="G14" s="22" t="s">
        <v>13</v>
      </c>
      <c r="H14" s="23"/>
      <c r="I14" s="23"/>
      <c r="J14" s="24">
        <f>E12*E13</f>
        <v>2925000</v>
      </c>
    </row>
    <row r="15" spans="1:10" ht="18.75">
      <c r="A15" s="7"/>
      <c r="B15" s="108" t="s">
        <v>9</v>
      </c>
      <c r="C15" s="109"/>
      <c r="D15" s="107"/>
      <c r="E15" s="102">
        <v>0.015</v>
      </c>
      <c r="F15" s="20"/>
      <c r="G15" s="113" t="s">
        <v>23</v>
      </c>
      <c r="H15" s="107"/>
      <c r="I15" s="107"/>
      <c r="J15" s="114">
        <f>J14-J12</f>
        <v>1517329</v>
      </c>
    </row>
    <row r="16" spans="1:10" ht="18.75">
      <c r="A16" s="7"/>
      <c r="B16" s="108" t="s">
        <v>17</v>
      </c>
      <c r="C16" s="109"/>
      <c r="D16" s="107"/>
      <c r="E16" s="25">
        <v>0.5</v>
      </c>
      <c r="F16" s="20"/>
      <c r="G16" s="113" t="s">
        <v>24</v>
      </c>
      <c r="H16" s="107"/>
      <c r="I16" s="107"/>
      <c r="J16" s="114">
        <f>J14-J13</f>
        <v>1373042.7225</v>
      </c>
    </row>
    <row r="17" spans="1:10" ht="19.5" thickBot="1">
      <c r="A17" s="7"/>
      <c r="B17" s="110" t="s">
        <v>10</v>
      </c>
      <c r="C17" s="111"/>
      <c r="D17" s="112"/>
      <c r="E17" s="26">
        <v>7</v>
      </c>
      <c r="F17" s="5"/>
      <c r="G17" s="116"/>
      <c r="H17" s="112"/>
      <c r="I17" s="117"/>
      <c r="J17" s="118"/>
    </row>
    <row r="18" spans="1:10" ht="19.5" thickBot="1">
      <c r="A18" s="7"/>
      <c r="B18" s="13"/>
      <c r="C18" s="14"/>
      <c r="D18" s="14"/>
      <c r="E18" s="15"/>
      <c r="F18" s="15"/>
      <c r="G18" s="16"/>
      <c r="H18" s="8"/>
      <c r="I18" s="17"/>
      <c r="J18" s="27"/>
    </row>
    <row r="19" spans="1:11" ht="18.75">
      <c r="A19" s="7"/>
      <c r="B19" s="181" t="s">
        <v>34</v>
      </c>
      <c r="C19" s="182"/>
      <c r="D19" s="182"/>
      <c r="E19" s="182" t="s">
        <v>26</v>
      </c>
      <c r="F19" s="182"/>
      <c r="G19" s="173" t="s">
        <v>27</v>
      </c>
      <c r="H19" s="175" t="s">
        <v>28</v>
      </c>
      <c r="I19" s="177" t="s">
        <v>29</v>
      </c>
      <c r="J19" s="179" t="s">
        <v>6</v>
      </c>
      <c r="K19" s="1"/>
    </row>
    <row r="20" spans="1:11" ht="19.5" thickBot="1">
      <c r="A20" s="7"/>
      <c r="B20" s="183"/>
      <c r="C20" s="184"/>
      <c r="D20" s="184"/>
      <c r="E20" s="184"/>
      <c r="F20" s="184"/>
      <c r="G20" s="174"/>
      <c r="H20" s="176"/>
      <c r="I20" s="178"/>
      <c r="J20" s="180"/>
      <c r="K20" s="1"/>
    </row>
    <row r="21" spans="1:11" ht="18.75">
      <c r="A21" s="7"/>
      <c r="B21" s="28"/>
      <c r="C21" s="28"/>
      <c r="D21" s="28"/>
      <c r="E21" s="28"/>
      <c r="F21" s="28"/>
      <c r="G21" s="29"/>
      <c r="H21" s="30"/>
      <c r="I21" s="31"/>
      <c r="J21" s="31"/>
      <c r="K21" s="1"/>
    </row>
    <row r="22" spans="1:11" ht="18.75">
      <c r="A22" s="7"/>
      <c r="B22" s="28" t="s">
        <v>30</v>
      </c>
      <c r="C22" s="28"/>
      <c r="D22" s="28"/>
      <c r="E22" s="28"/>
      <c r="F22" s="28"/>
      <c r="G22" s="29"/>
      <c r="H22" s="30"/>
      <c r="I22" s="31"/>
      <c r="J22" s="31"/>
      <c r="K22" s="1"/>
    </row>
    <row r="23" spans="1:12" ht="18.75">
      <c r="A23" s="7"/>
      <c r="B23" s="227" t="s">
        <v>62</v>
      </c>
      <c r="C23" s="228"/>
      <c r="D23" s="228"/>
      <c r="E23" s="185" t="s">
        <v>93</v>
      </c>
      <c r="F23" s="169"/>
      <c r="G23" s="67">
        <v>2</v>
      </c>
      <c r="H23" s="100" t="s">
        <v>11</v>
      </c>
      <c r="I23" s="121">
        <v>11000</v>
      </c>
      <c r="J23" s="104">
        <f>G23*I23</f>
        <v>22000</v>
      </c>
      <c r="K23" s="1"/>
      <c r="L23" s="56"/>
    </row>
    <row r="24" spans="1:11" ht="18.75">
      <c r="A24" s="7"/>
      <c r="B24" s="154" t="s">
        <v>54</v>
      </c>
      <c r="C24" s="155"/>
      <c r="D24" s="156"/>
      <c r="E24" s="163" t="s">
        <v>74</v>
      </c>
      <c r="F24" s="164"/>
      <c r="G24" s="57">
        <v>7</v>
      </c>
      <c r="H24" s="101" t="s">
        <v>11</v>
      </c>
      <c r="I24" s="122">
        <v>11000</v>
      </c>
      <c r="J24" s="32">
        <f aca="true" t="shared" si="0" ref="J24:J29">G24*I24</f>
        <v>77000</v>
      </c>
      <c r="K24" s="1"/>
    </row>
    <row r="25" spans="1:11" ht="18.75">
      <c r="A25" s="7"/>
      <c r="B25" s="154" t="s">
        <v>108</v>
      </c>
      <c r="C25" s="155"/>
      <c r="D25" s="156"/>
      <c r="E25" s="163" t="s">
        <v>76</v>
      </c>
      <c r="F25" s="164"/>
      <c r="G25" s="57">
        <v>5</v>
      </c>
      <c r="H25" s="101" t="s">
        <v>11</v>
      </c>
      <c r="I25" s="122">
        <v>11000</v>
      </c>
      <c r="J25" s="32">
        <f t="shared" si="0"/>
        <v>55000</v>
      </c>
      <c r="K25" s="1"/>
    </row>
    <row r="26" spans="1:11" ht="18.75">
      <c r="A26" s="7"/>
      <c r="B26" s="154" t="s">
        <v>47</v>
      </c>
      <c r="C26" s="155"/>
      <c r="D26" s="156"/>
      <c r="E26" s="163" t="s">
        <v>76</v>
      </c>
      <c r="F26" s="164"/>
      <c r="G26" s="57">
        <v>3</v>
      </c>
      <c r="H26" s="101" t="s">
        <v>11</v>
      </c>
      <c r="I26" s="122">
        <v>11000</v>
      </c>
      <c r="J26" s="32">
        <f t="shared" si="0"/>
        <v>33000</v>
      </c>
      <c r="K26" s="1"/>
    </row>
    <row r="27" spans="1:11" ht="18.75">
      <c r="A27" s="7"/>
      <c r="B27" s="154" t="s">
        <v>110</v>
      </c>
      <c r="C27" s="155"/>
      <c r="D27" s="156"/>
      <c r="E27" s="163" t="s">
        <v>76</v>
      </c>
      <c r="F27" s="164"/>
      <c r="G27" s="57">
        <v>5</v>
      </c>
      <c r="H27" s="101" t="s">
        <v>11</v>
      </c>
      <c r="I27" s="122">
        <v>11000</v>
      </c>
      <c r="J27" s="32">
        <f t="shared" si="0"/>
        <v>55000</v>
      </c>
      <c r="K27" s="1"/>
    </row>
    <row r="28" spans="1:11" ht="18.75">
      <c r="A28" s="7"/>
      <c r="B28" s="154" t="s">
        <v>55</v>
      </c>
      <c r="C28" s="155"/>
      <c r="D28" s="156"/>
      <c r="E28" s="163" t="s">
        <v>74</v>
      </c>
      <c r="F28" s="164"/>
      <c r="G28" s="57">
        <v>3</v>
      </c>
      <c r="H28" s="101" t="s">
        <v>11</v>
      </c>
      <c r="I28" s="122">
        <v>11000</v>
      </c>
      <c r="J28" s="32">
        <f t="shared" si="0"/>
        <v>33000</v>
      </c>
      <c r="K28" s="1"/>
    </row>
    <row r="29" spans="1:11" ht="18.75">
      <c r="A29" s="7"/>
      <c r="B29" s="165" t="s">
        <v>101</v>
      </c>
      <c r="C29" s="166"/>
      <c r="D29" s="167"/>
      <c r="E29" s="239" t="s">
        <v>75</v>
      </c>
      <c r="F29" s="240"/>
      <c r="G29" s="58">
        <f>Hoja1!C5*Hoja1!C2</f>
        <v>25000</v>
      </c>
      <c r="H29" s="103" t="s">
        <v>12</v>
      </c>
      <c r="I29" s="123">
        <v>8</v>
      </c>
      <c r="J29" s="33">
        <f t="shared" si="0"/>
        <v>200000</v>
      </c>
      <c r="K29" s="1"/>
    </row>
    <row r="30" spans="1:11" ht="18.75">
      <c r="A30" s="7"/>
      <c r="B30" s="160" t="s">
        <v>31</v>
      </c>
      <c r="C30" s="161"/>
      <c r="D30" s="161"/>
      <c r="E30" s="161"/>
      <c r="F30" s="161"/>
      <c r="G30" s="161"/>
      <c r="H30" s="161"/>
      <c r="I30" s="162"/>
      <c r="J30" s="64">
        <f>SUM(J23:J29)</f>
        <v>475000</v>
      </c>
      <c r="K30" s="1"/>
    </row>
    <row r="31" spans="1:11" s="2" customFormat="1" ht="18.75">
      <c r="A31" s="35"/>
      <c r="B31" s="28"/>
      <c r="C31" s="28"/>
      <c r="D31" s="28"/>
      <c r="E31" s="28"/>
      <c r="F31" s="28"/>
      <c r="G31" s="29"/>
      <c r="H31" s="30"/>
      <c r="I31" s="31"/>
      <c r="J31" s="31"/>
      <c r="K31" s="1"/>
    </row>
    <row r="32" spans="1:11" s="3" customFormat="1" ht="18.75">
      <c r="A32" s="37"/>
      <c r="B32" s="28" t="s">
        <v>32</v>
      </c>
      <c r="C32" s="28"/>
      <c r="D32" s="28"/>
      <c r="E32" s="28"/>
      <c r="F32" s="28"/>
      <c r="G32" s="29"/>
      <c r="H32" s="30"/>
      <c r="I32" s="31"/>
      <c r="J32" s="31"/>
      <c r="K32" s="1"/>
    </row>
    <row r="33" spans="1:11" ht="18.75">
      <c r="A33" s="7"/>
      <c r="B33" s="227" t="s">
        <v>99</v>
      </c>
      <c r="C33" s="228"/>
      <c r="D33" s="228"/>
      <c r="E33" s="237" t="s">
        <v>95</v>
      </c>
      <c r="F33" s="238"/>
      <c r="G33" s="71">
        <v>1</v>
      </c>
      <c r="H33" s="63" t="s">
        <v>50</v>
      </c>
      <c r="I33" s="125">
        <v>50000</v>
      </c>
      <c r="J33" s="104">
        <f>G33*I33</f>
        <v>50000</v>
      </c>
      <c r="K33" s="1"/>
    </row>
    <row r="34" spans="1:11" ht="18.75">
      <c r="A34" s="7"/>
      <c r="B34" s="154" t="s">
        <v>117</v>
      </c>
      <c r="C34" s="155"/>
      <c r="D34" s="156"/>
      <c r="E34" s="163" t="s">
        <v>15</v>
      </c>
      <c r="F34" s="164"/>
      <c r="G34" s="72">
        <v>3</v>
      </c>
      <c r="H34" s="57" t="s">
        <v>50</v>
      </c>
      <c r="I34" s="124">
        <v>25000</v>
      </c>
      <c r="J34" s="32">
        <f aca="true" t="shared" si="1" ref="J34:J39">G34*I34</f>
        <v>75000</v>
      </c>
      <c r="K34" s="1"/>
    </row>
    <row r="35" spans="1:11" ht="18.75">
      <c r="A35" s="7"/>
      <c r="B35" s="154" t="s">
        <v>96</v>
      </c>
      <c r="C35" s="155"/>
      <c r="D35" s="156"/>
      <c r="E35" s="163" t="s">
        <v>93</v>
      </c>
      <c r="F35" s="164"/>
      <c r="G35" s="72">
        <v>1</v>
      </c>
      <c r="H35" s="57" t="s">
        <v>50</v>
      </c>
      <c r="I35" s="124">
        <v>15000</v>
      </c>
      <c r="J35" s="32">
        <f t="shared" si="1"/>
        <v>15000</v>
      </c>
      <c r="K35" s="1"/>
    </row>
    <row r="36" spans="1:11" ht="18.75">
      <c r="A36" s="7"/>
      <c r="B36" s="94" t="s">
        <v>98</v>
      </c>
      <c r="C36" s="95"/>
      <c r="D36" s="96"/>
      <c r="E36" s="163" t="s">
        <v>97</v>
      </c>
      <c r="F36" s="164"/>
      <c r="G36" s="72">
        <v>1</v>
      </c>
      <c r="H36" s="57" t="s">
        <v>50</v>
      </c>
      <c r="I36" s="124">
        <v>15000</v>
      </c>
      <c r="J36" s="32">
        <f t="shared" si="1"/>
        <v>15000</v>
      </c>
      <c r="K36" s="1"/>
    </row>
    <row r="37" spans="1:11" ht="18.75">
      <c r="A37" s="7"/>
      <c r="B37" s="154" t="s">
        <v>58</v>
      </c>
      <c r="C37" s="155"/>
      <c r="D37" s="156"/>
      <c r="E37" s="163" t="s">
        <v>97</v>
      </c>
      <c r="F37" s="164"/>
      <c r="G37" s="72">
        <v>1</v>
      </c>
      <c r="H37" s="57" t="s">
        <v>50</v>
      </c>
      <c r="I37" s="124">
        <v>15000</v>
      </c>
      <c r="J37" s="32">
        <f t="shared" si="1"/>
        <v>15000</v>
      </c>
      <c r="K37" s="1"/>
    </row>
    <row r="38" spans="1:11" ht="18.75">
      <c r="A38" s="7"/>
      <c r="B38" s="241" t="s">
        <v>51</v>
      </c>
      <c r="C38" s="242"/>
      <c r="D38" s="242"/>
      <c r="E38" s="230" t="s">
        <v>76</v>
      </c>
      <c r="F38" s="231"/>
      <c r="G38" s="73">
        <v>1</v>
      </c>
      <c r="H38" s="59" t="s">
        <v>50</v>
      </c>
      <c r="I38" s="126">
        <v>30000</v>
      </c>
      <c r="J38" s="32">
        <f t="shared" si="1"/>
        <v>30000</v>
      </c>
      <c r="K38" s="1"/>
    </row>
    <row r="39" spans="1:11" ht="18.75">
      <c r="A39" s="7"/>
      <c r="B39" s="165" t="s">
        <v>113</v>
      </c>
      <c r="C39" s="166"/>
      <c r="D39" s="167"/>
      <c r="E39" s="239" t="s">
        <v>75</v>
      </c>
      <c r="F39" s="240"/>
      <c r="G39" s="74">
        <f>Hoja1!C6*Hoja1!C2</f>
        <v>25000</v>
      </c>
      <c r="H39" s="58" t="s">
        <v>12</v>
      </c>
      <c r="I39" s="127">
        <v>4</v>
      </c>
      <c r="J39" s="33">
        <f t="shared" si="1"/>
        <v>100000</v>
      </c>
      <c r="K39" s="1"/>
    </row>
    <row r="40" spans="1:11" ht="18.75">
      <c r="A40" s="7"/>
      <c r="B40" s="232" t="s">
        <v>33</v>
      </c>
      <c r="C40" s="162"/>
      <c r="D40" s="162"/>
      <c r="E40" s="162"/>
      <c r="F40" s="162"/>
      <c r="G40" s="162"/>
      <c r="H40" s="162"/>
      <c r="I40" s="162"/>
      <c r="J40" s="64">
        <f>SUM(J33:J39)</f>
        <v>300000</v>
      </c>
      <c r="K40" s="1"/>
    </row>
    <row r="41" spans="1:11" s="2" customFormat="1" ht="18.75">
      <c r="A41" s="35"/>
      <c r="B41" s="28"/>
      <c r="C41" s="28"/>
      <c r="D41" s="28"/>
      <c r="E41" s="28"/>
      <c r="F41" s="28"/>
      <c r="G41" s="29"/>
      <c r="H41" s="30"/>
      <c r="I41" s="31"/>
      <c r="J41" s="31"/>
      <c r="K41" s="1"/>
    </row>
    <row r="42" spans="1:11" ht="18.75">
      <c r="A42" s="7"/>
      <c r="B42" s="28" t="s">
        <v>102</v>
      </c>
      <c r="C42" s="28"/>
      <c r="D42" s="28"/>
      <c r="E42" s="28"/>
      <c r="F42" s="28"/>
      <c r="G42" s="29"/>
      <c r="H42" s="30"/>
      <c r="I42" s="31"/>
      <c r="J42" s="31"/>
      <c r="K42" s="1"/>
    </row>
    <row r="43" spans="1:11" ht="18.75">
      <c r="A43" s="7"/>
      <c r="B43" s="146" t="s">
        <v>112</v>
      </c>
      <c r="C43" s="147"/>
      <c r="D43" s="148"/>
      <c r="E43" s="168" t="s">
        <v>63</v>
      </c>
      <c r="F43" s="169"/>
      <c r="G43" s="67">
        <v>2</v>
      </c>
      <c r="H43" s="119" t="s">
        <v>12</v>
      </c>
      <c r="I43" s="128">
        <v>20000</v>
      </c>
      <c r="J43" s="120">
        <f>G43*I43</f>
        <v>40000</v>
      </c>
      <c r="K43" s="1"/>
    </row>
    <row r="44" spans="1:11" ht="18.75">
      <c r="A44" s="7"/>
      <c r="B44" s="135"/>
      <c r="C44" s="136"/>
      <c r="D44" s="137"/>
      <c r="E44" s="98"/>
      <c r="F44" s="97"/>
      <c r="G44" s="69"/>
      <c r="H44" s="89"/>
      <c r="I44" s="129"/>
      <c r="J44" s="38"/>
      <c r="K44" s="1"/>
    </row>
    <row r="45" spans="1:11" ht="18.75">
      <c r="A45" s="7"/>
      <c r="B45" s="138" t="s">
        <v>78</v>
      </c>
      <c r="C45" s="139"/>
      <c r="D45" s="140"/>
      <c r="E45" s="229" t="s">
        <v>18</v>
      </c>
      <c r="F45" s="164"/>
      <c r="G45" s="68"/>
      <c r="H45" s="90"/>
      <c r="I45" s="129"/>
      <c r="J45" s="38"/>
      <c r="K45" s="1"/>
    </row>
    <row r="46" spans="1:11" ht="18.75">
      <c r="A46" s="7"/>
      <c r="B46" s="135" t="s">
        <v>79</v>
      </c>
      <c r="C46" s="136"/>
      <c r="D46" s="137"/>
      <c r="E46" s="229" t="s">
        <v>93</v>
      </c>
      <c r="F46" s="164"/>
      <c r="G46" s="69">
        <v>400</v>
      </c>
      <c r="H46" s="89" t="s">
        <v>12</v>
      </c>
      <c r="I46" s="129">
        <v>393</v>
      </c>
      <c r="J46" s="38">
        <f aca="true" t="shared" si="2" ref="J46:J60">G46*I46</f>
        <v>157200</v>
      </c>
      <c r="K46" s="1"/>
    </row>
    <row r="47" spans="1:11" ht="18" customHeight="1">
      <c r="A47" s="7"/>
      <c r="B47" s="244" t="s">
        <v>80</v>
      </c>
      <c r="C47" s="144"/>
      <c r="D47" s="145"/>
      <c r="E47" s="229" t="s">
        <v>57</v>
      </c>
      <c r="F47" s="164"/>
      <c r="G47" s="70">
        <v>300</v>
      </c>
      <c r="H47" s="91" t="s">
        <v>12</v>
      </c>
      <c r="I47" s="130">
        <v>488</v>
      </c>
      <c r="J47" s="38">
        <f t="shared" si="2"/>
        <v>146400</v>
      </c>
      <c r="K47" s="1"/>
    </row>
    <row r="48" spans="1:11" ht="18.75">
      <c r="A48" s="7"/>
      <c r="B48" s="132"/>
      <c r="C48" s="133"/>
      <c r="D48" s="134"/>
      <c r="E48" s="229"/>
      <c r="F48" s="164"/>
      <c r="G48" s="69"/>
      <c r="H48" s="89"/>
      <c r="I48" s="129"/>
      <c r="J48" s="38"/>
      <c r="K48" s="1"/>
    </row>
    <row r="49" spans="1:11" ht="18.75">
      <c r="A49" s="7"/>
      <c r="B49" s="141" t="s">
        <v>81</v>
      </c>
      <c r="C49" s="142"/>
      <c r="D49" s="143"/>
      <c r="E49" s="229"/>
      <c r="F49" s="164"/>
      <c r="G49" s="69"/>
      <c r="H49" s="89"/>
      <c r="I49" s="129"/>
      <c r="J49" s="38"/>
      <c r="K49" s="1"/>
    </row>
    <row r="50" spans="1:11" ht="18.75">
      <c r="A50" s="7"/>
      <c r="B50" s="132" t="s">
        <v>82</v>
      </c>
      <c r="C50" s="133"/>
      <c r="D50" s="134"/>
      <c r="E50" s="229" t="s">
        <v>15</v>
      </c>
      <c r="F50" s="164"/>
      <c r="G50" s="69">
        <v>4</v>
      </c>
      <c r="H50" s="89" t="s">
        <v>12</v>
      </c>
      <c r="I50" s="129">
        <v>3700</v>
      </c>
      <c r="J50" s="38">
        <f t="shared" si="2"/>
        <v>14800</v>
      </c>
      <c r="K50" s="1"/>
    </row>
    <row r="51" spans="1:11" ht="18.75">
      <c r="A51" s="7"/>
      <c r="B51" s="132" t="s">
        <v>83</v>
      </c>
      <c r="C51" s="133"/>
      <c r="D51" s="134"/>
      <c r="E51" s="229" t="s">
        <v>60</v>
      </c>
      <c r="F51" s="164"/>
      <c r="G51" s="69">
        <v>30</v>
      </c>
      <c r="H51" s="89" t="s">
        <v>12</v>
      </c>
      <c r="I51" s="129">
        <v>393</v>
      </c>
      <c r="J51" s="38">
        <f t="shared" si="2"/>
        <v>11790</v>
      </c>
      <c r="K51" s="1"/>
    </row>
    <row r="52" spans="1:11" ht="18.75">
      <c r="A52" s="7"/>
      <c r="B52" s="132"/>
      <c r="C52" s="133"/>
      <c r="D52" s="134"/>
      <c r="E52" s="98"/>
      <c r="F52" s="97"/>
      <c r="G52" s="69"/>
      <c r="H52" s="89"/>
      <c r="I52" s="129"/>
      <c r="J52" s="38"/>
      <c r="K52" s="1"/>
    </row>
    <row r="53" spans="1:11" ht="18.75">
      <c r="A53" s="7"/>
      <c r="B53" s="141" t="s">
        <v>84</v>
      </c>
      <c r="C53" s="142"/>
      <c r="D53" s="143"/>
      <c r="E53" s="229"/>
      <c r="F53" s="164"/>
      <c r="G53" s="69"/>
      <c r="H53" s="89"/>
      <c r="I53" s="129"/>
      <c r="J53" s="38"/>
      <c r="K53" s="1"/>
    </row>
    <row r="54" spans="1:11" ht="18.75">
      <c r="A54" s="7"/>
      <c r="B54" s="132" t="s">
        <v>85</v>
      </c>
      <c r="C54" s="133"/>
      <c r="D54" s="134"/>
      <c r="E54" s="229" t="s">
        <v>77</v>
      </c>
      <c r="F54" s="164"/>
      <c r="G54" s="68">
        <v>1</v>
      </c>
      <c r="H54" s="90" t="s">
        <v>12</v>
      </c>
      <c r="I54" s="129">
        <v>48142</v>
      </c>
      <c r="J54" s="38">
        <f t="shared" si="2"/>
        <v>48142</v>
      </c>
      <c r="K54" s="1"/>
    </row>
    <row r="55" spans="1:11" ht="18.75">
      <c r="A55" s="7"/>
      <c r="B55" s="132" t="s">
        <v>114</v>
      </c>
      <c r="C55" s="133"/>
      <c r="D55" s="134"/>
      <c r="E55" s="163" t="s">
        <v>100</v>
      </c>
      <c r="F55" s="164"/>
      <c r="G55" s="68">
        <v>0.6</v>
      </c>
      <c r="H55" s="90" t="s">
        <v>16</v>
      </c>
      <c r="I55" s="129">
        <v>23790</v>
      </c>
      <c r="J55" s="38">
        <f t="shared" si="2"/>
        <v>14274</v>
      </c>
      <c r="K55" s="1"/>
    </row>
    <row r="56" spans="1:11" ht="18.75">
      <c r="A56" s="7"/>
      <c r="B56" s="149"/>
      <c r="C56" s="150"/>
      <c r="D56" s="151"/>
      <c r="E56" s="153"/>
      <c r="F56" s="152"/>
      <c r="G56" s="68"/>
      <c r="H56" s="90"/>
      <c r="I56" s="129"/>
      <c r="J56" s="38"/>
      <c r="K56" s="1"/>
    </row>
    <row r="57" spans="1:11" ht="18.75">
      <c r="A57" s="7"/>
      <c r="B57" s="138" t="s">
        <v>86</v>
      </c>
      <c r="C57" s="139"/>
      <c r="D57" s="140"/>
      <c r="E57" s="229"/>
      <c r="F57" s="164"/>
      <c r="G57" s="68"/>
      <c r="H57" s="90"/>
      <c r="I57" s="129"/>
      <c r="J57" s="38"/>
      <c r="K57" s="1"/>
    </row>
    <row r="58" spans="1:11" ht="18.75">
      <c r="A58" s="7"/>
      <c r="B58" s="135" t="s">
        <v>115</v>
      </c>
      <c r="C58" s="139"/>
      <c r="D58" s="140"/>
      <c r="E58" s="163" t="s">
        <v>93</v>
      </c>
      <c r="F58" s="164"/>
      <c r="G58" s="68">
        <v>15</v>
      </c>
      <c r="H58" s="90" t="s">
        <v>12</v>
      </c>
      <c r="I58" s="129">
        <v>11231</v>
      </c>
      <c r="J58" s="38">
        <f t="shared" si="2"/>
        <v>168465</v>
      </c>
      <c r="K58" s="1"/>
    </row>
    <row r="59" spans="1:11" ht="18.75">
      <c r="A59" s="7"/>
      <c r="B59" s="135" t="s">
        <v>87</v>
      </c>
      <c r="C59" s="136"/>
      <c r="D59" s="137"/>
      <c r="E59" s="229" t="s">
        <v>60</v>
      </c>
      <c r="F59" s="164"/>
      <c r="G59" s="68">
        <v>2</v>
      </c>
      <c r="H59" s="90" t="s">
        <v>16</v>
      </c>
      <c r="I59" s="129">
        <v>4800</v>
      </c>
      <c r="J59" s="38">
        <f t="shared" si="2"/>
        <v>9600</v>
      </c>
      <c r="K59" s="1"/>
    </row>
    <row r="60" spans="1:11" ht="18.75">
      <c r="A60" s="7"/>
      <c r="B60" s="85" t="s">
        <v>89</v>
      </c>
      <c r="C60" s="86"/>
      <c r="D60" s="87"/>
      <c r="E60" s="243" t="s">
        <v>90</v>
      </c>
      <c r="F60" s="240"/>
      <c r="G60" s="88">
        <v>1</v>
      </c>
      <c r="H60" s="92" t="s">
        <v>111</v>
      </c>
      <c r="I60" s="131">
        <v>22000</v>
      </c>
      <c r="J60" s="93">
        <f t="shared" si="2"/>
        <v>22000</v>
      </c>
      <c r="K60" s="1"/>
    </row>
    <row r="61" spans="1:11" ht="18.75">
      <c r="A61" s="7"/>
      <c r="B61" s="235" t="s">
        <v>35</v>
      </c>
      <c r="C61" s="236"/>
      <c r="D61" s="236"/>
      <c r="E61" s="236"/>
      <c r="F61" s="236"/>
      <c r="G61" s="236"/>
      <c r="H61" s="236"/>
      <c r="I61" s="236"/>
      <c r="J61" s="66">
        <f>SUM(J43:J60)</f>
        <v>632671</v>
      </c>
      <c r="K61" s="1"/>
    </row>
    <row r="62" spans="1:11" s="2" customFormat="1" ht="18.75">
      <c r="A62" s="35"/>
      <c r="B62" s="39"/>
      <c r="C62" s="39"/>
      <c r="D62" s="39"/>
      <c r="E62" s="39"/>
      <c r="F62" s="39"/>
      <c r="G62" s="39"/>
      <c r="H62" s="39"/>
      <c r="I62" s="39"/>
      <c r="J62" s="40"/>
      <c r="K62" s="1"/>
    </row>
    <row r="63" spans="1:11" ht="18.75">
      <c r="A63" s="7"/>
      <c r="B63" s="233" t="s">
        <v>36</v>
      </c>
      <c r="C63" s="234"/>
      <c r="D63" s="234"/>
      <c r="E63" s="234"/>
      <c r="F63" s="234"/>
      <c r="G63" s="234"/>
      <c r="H63" s="234"/>
      <c r="I63" s="234"/>
      <c r="J63" s="34">
        <f>J30+J40+J61</f>
        <v>1407671</v>
      </c>
      <c r="K63" s="1"/>
    </row>
    <row r="64" spans="1:11" s="2" customFormat="1" ht="18.75">
      <c r="A64" s="35"/>
      <c r="B64" s="28"/>
      <c r="C64" s="28"/>
      <c r="D64" s="28"/>
      <c r="E64" s="28"/>
      <c r="F64" s="29"/>
      <c r="G64" s="30"/>
      <c r="H64" s="31"/>
      <c r="I64" s="31"/>
      <c r="J64" s="28"/>
      <c r="K64" s="1"/>
    </row>
    <row r="65" spans="1:11" ht="18.75">
      <c r="A65" s="7"/>
      <c r="B65" s="28" t="s">
        <v>37</v>
      </c>
      <c r="C65" s="28"/>
      <c r="D65" s="28"/>
      <c r="E65" s="61" t="s">
        <v>2</v>
      </c>
      <c r="F65" s="61"/>
      <c r="G65" s="62"/>
      <c r="H65" s="61"/>
      <c r="I65" s="60" t="s">
        <v>1</v>
      </c>
      <c r="J65" s="60" t="s">
        <v>6</v>
      </c>
      <c r="K65" s="1"/>
    </row>
    <row r="66" spans="1:11" ht="18.75">
      <c r="A66" s="7"/>
      <c r="B66" s="222" t="s">
        <v>0</v>
      </c>
      <c r="C66" s="222"/>
      <c r="D66" s="222"/>
      <c r="E66" s="222" t="s">
        <v>3</v>
      </c>
      <c r="F66" s="222"/>
      <c r="G66" s="222"/>
      <c r="H66" s="222"/>
      <c r="I66" s="41">
        <v>0.05</v>
      </c>
      <c r="J66" s="42">
        <f>J63*I66</f>
        <v>70383.55</v>
      </c>
      <c r="K66" s="1"/>
    </row>
    <row r="67" spans="1:11" ht="18.75">
      <c r="A67" s="7"/>
      <c r="B67" s="222" t="s">
        <v>38</v>
      </c>
      <c r="C67" s="222"/>
      <c r="D67" s="222"/>
      <c r="E67" s="222" t="s">
        <v>7</v>
      </c>
      <c r="F67" s="222"/>
      <c r="G67" s="222"/>
      <c r="H67" s="222"/>
      <c r="I67" s="43">
        <f>E15</f>
        <v>0.015</v>
      </c>
      <c r="J67" s="42">
        <f>E15*E16*E17*J63</f>
        <v>73902.7275</v>
      </c>
      <c r="K67" s="1"/>
    </row>
    <row r="68" spans="1:11" ht="18.75">
      <c r="A68" s="7"/>
      <c r="B68" s="222" t="s">
        <v>88</v>
      </c>
      <c r="C68" s="222"/>
      <c r="D68" s="222"/>
      <c r="E68" s="223" t="s">
        <v>5</v>
      </c>
      <c r="F68" s="223"/>
      <c r="G68" s="223"/>
      <c r="H68" s="223"/>
      <c r="I68" s="223"/>
      <c r="J68" s="44"/>
      <c r="K68" s="1"/>
    </row>
    <row r="69" spans="1:11" ht="18.75">
      <c r="A69" s="7"/>
      <c r="B69" s="222" t="s">
        <v>4</v>
      </c>
      <c r="C69" s="222"/>
      <c r="D69" s="222"/>
      <c r="E69" s="223"/>
      <c r="F69" s="223"/>
      <c r="G69" s="223"/>
      <c r="H69" s="223"/>
      <c r="I69" s="223"/>
      <c r="J69" s="44"/>
      <c r="K69" s="1"/>
    </row>
    <row r="70" spans="1:11" ht="18.75">
      <c r="A70" s="7"/>
      <c r="B70" s="222" t="s">
        <v>39</v>
      </c>
      <c r="C70" s="222"/>
      <c r="D70" s="222"/>
      <c r="E70" s="223"/>
      <c r="F70" s="223"/>
      <c r="G70" s="223"/>
      <c r="H70" s="223"/>
      <c r="I70" s="223"/>
      <c r="J70" s="44"/>
      <c r="K70" s="1"/>
    </row>
    <row r="71" spans="1:11" ht="18.75">
      <c r="A71" s="7"/>
      <c r="B71" s="160" t="s">
        <v>40</v>
      </c>
      <c r="C71" s="161"/>
      <c r="D71" s="161"/>
      <c r="E71" s="161"/>
      <c r="F71" s="161"/>
      <c r="G71" s="161"/>
      <c r="H71" s="161"/>
      <c r="I71" s="161"/>
      <c r="J71" s="34">
        <f>SUM(J66:J67)</f>
        <v>144286.2775</v>
      </c>
      <c r="K71" s="1"/>
    </row>
    <row r="72" spans="1:11" s="2" customFormat="1" ht="18.75">
      <c r="A72" s="35"/>
      <c r="B72" s="30"/>
      <c r="C72" s="30"/>
      <c r="D72" s="30"/>
      <c r="E72" s="30"/>
      <c r="F72" s="30"/>
      <c r="G72" s="30"/>
      <c r="H72" s="30"/>
      <c r="I72" s="30"/>
      <c r="J72" s="36"/>
      <c r="K72" s="1"/>
    </row>
    <row r="73" spans="1:11" ht="18.75">
      <c r="A73" s="7"/>
      <c r="B73" s="220" t="s">
        <v>41</v>
      </c>
      <c r="C73" s="221"/>
      <c r="D73" s="221"/>
      <c r="E73" s="221"/>
      <c r="F73" s="221"/>
      <c r="G73" s="221"/>
      <c r="H73" s="221"/>
      <c r="I73" s="221"/>
      <c r="J73" s="45">
        <f>J63+J71</f>
        <v>1551957.2775</v>
      </c>
      <c r="K73" s="1"/>
    </row>
    <row r="74" spans="1:11" s="2" customFormat="1" ht="19.5" thickBot="1">
      <c r="A74" s="35"/>
      <c r="B74" s="30"/>
      <c r="C74" s="30"/>
      <c r="D74" s="30"/>
      <c r="E74" s="30"/>
      <c r="F74" s="30"/>
      <c r="G74" s="30"/>
      <c r="H74" s="30"/>
      <c r="I74" s="30"/>
      <c r="J74" s="36"/>
      <c r="K74" s="1"/>
    </row>
    <row r="75" spans="1:11" ht="19.5" thickBot="1">
      <c r="A75" s="7"/>
      <c r="B75" s="217" t="s">
        <v>42</v>
      </c>
      <c r="C75" s="218"/>
      <c r="D75" s="218"/>
      <c r="E75" s="218"/>
      <c r="F75" s="218"/>
      <c r="G75" s="218"/>
      <c r="H75" s="218"/>
      <c r="I75" s="218"/>
      <c r="J75" s="219"/>
      <c r="K75" s="1"/>
    </row>
    <row r="76" spans="1:11" s="2" customFormat="1" ht="18.75">
      <c r="A76" s="35"/>
      <c r="B76" s="46"/>
      <c r="C76" s="46"/>
      <c r="D76" s="46"/>
      <c r="E76" s="46"/>
      <c r="F76" s="46"/>
      <c r="G76" s="46"/>
      <c r="H76" s="46"/>
      <c r="I76" s="46"/>
      <c r="J76" s="46"/>
      <c r="K76" s="1"/>
    </row>
    <row r="77" spans="1:11" ht="18.75">
      <c r="A77" s="7"/>
      <c r="B77" s="7"/>
      <c r="C77" s="7"/>
      <c r="D77" s="205" t="s">
        <v>103</v>
      </c>
      <c r="E77" s="206"/>
      <c r="F77" s="206"/>
      <c r="G77" s="206"/>
      <c r="H77" s="207"/>
      <c r="I77" s="7"/>
      <c r="J77" s="7"/>
      <c r="K77" s="1"/>
    </row>
    <row r="78" spans="1:11" ht="18.75">
      <c r="A78" s="7"/>
      <c r="B78" s="7"/>
      <c r="C78" s="7"/>
      <c r="D78" s="199" t="s">
        <v>45</v>
      </c>
      <c r="E78" s="200"/>
      <c r="F78" s="205" t="s">
        <v>64</v>
      </c>
      <c r="G78" s="206"/>
      <c r="H78" s="207"/>
      <c r="I78" s="7"/>
      <c r="J78" s="7"/>
      <c r="K78" s="1"/>
    </row>
    <row r="79" spans="1:11" ht="18.75">
      <c r="A79" s="7"/>
      <c r="B79" s="7"/>
      <c r="C79" s="7"/>
      <c r="D79" s="203"/>
      <c r="E79" s="204"/>
      <c r="F79" s="47">
        <f>+G79*0.95</f>
        <v>111.14999999999999</v>
      </c>
      <c r="G79" s="48">
        <f>E13</f>
        <v>117</v>
      </c>
      <c r="H79" s="47">
        <f>+G79*1.05</f>
        <v>122.85000000000001</v>
      </c>
      <c r="I79" s="7"/>
      <c r="J79" s="7"/>
      <c r="K79" s="1"/>
    </row>
    <row r="80" spans="1:11" ht="18.75">
      <c r="A80" s="7"/>
      <c r="B80" s="7"/>
      <c r="C80" s="7"/>
      <c r="D80" s="213">
        <f>+D81*0.9</f>
        <v>22500</v>
      </c>
      <c r="E80" s="214"/>
      <c r="F80" s="49">
        <f>F$79*$D$80-Hoja1!$C$40</f>
        <v>1006247.7224999999</v>
      </c>
      <c r="G80" s="49">
        <f>G$79*$D$80-Hoja1!$C$40</f>
        <v>1137872.7225</v>
      </c>
      <c r="H80" s="49">
        <f>H$79*$D$80-Hoja1!$C$40</f>
        <v>1269497.7225</v>
      </c>
      <c r="I80" s="7"/>
      <c r="J80" s="7"/>
      <c r="K80" s="1"/>
    </row>
    <row r="81" spans="1:11" s="2" customFormat="1" ht="18.75">
      <c r="A81" s="35"/>
      <c r="B81" s="35"/>
      <c r="C81" s="35"/>
      <c r="D81" s="215">
        <f>E12</f>
        <v>25000</v>
      </c>
      <c r="E81" s="216"/>
      <c r="F81" s="50">
        <f>(F$79*$D81)-J73</f>
        <v>1226792.7225</v>
      </c>
      <c r="G81" s="50">
        <f>(G$79*$D81)-J73</f>
        <v>1373042.7225</v>
      </c>
      <c r="H81" s="50">
        <f>(H$79*$D81)-J73</f>
        <v>1519292.7225</v>
      </c>
      <c r="I81" s="35"/>
      <c r="J81" s="35"/>
      <c r="K81" s="1"/>
    </row>
    <row r="82" spans="1:11" ht="18.75">
      <c r="A82" s="7"/>
      <c r="B82" s="7"/>
      <c r="C82" s="7"/>
      <c r="D82" s="211">
        <f>+D81*1.1</f>
        <v>27500.000000000004</v>
      </c>
      <c r="E82" s="212"/>
      <c r="F82" s="51">
        <f>F$79*$D$82-Hoja1!$D$40</f>
        <v>1566454.313625</v>
      </c>
      <c r="G82" s="51">
        <f>G$79*$D$82-Hoja1!$D$40</f>
        <v>1727329.3136250004</v>
      </c>
      <c r="H82" s="51">
        <f>H$79*$D$82-Hoja1!$D$40</f>
        <v>1888204.3136250004</v>
      </c>
      <c r="I82" s="5"/>
      <c r="J82" s="5"/>
      <c r="K82" s="1"/>
    </row>
    <row r="83" spans="1:11" ht="18.75">
      <c r="A83" s="7"/>
      <c r="B83" s="52"/>
      <c r="C83" s="52"/>
      <c r="D83" s="53"/>
      <c r="E83" s="53"/>
      <c r="F83" s="53"/>
      <c r="G83" s="7"/>
      <c r="H83" s="7"/>
      <c r="I83" s="5"/>
      <c r="J83" s="5"/>
      <c r="K83" s="1"/>
    </row>
    <row r="84" spans="1:11" ht="18.75">
      <c r="A84" s="7"/>
      <c r="B84" s="52"/>
      <c r="C84" s="52"/>
      <c r="D84" s="199" t="s">
        <v>104</v>
      </c>
      <c r="E84" s="200"/>
      <c r="F84" s="208" t="s">
        <v>14</v>
      </c>
      <c r="G84" s="209"/>
      <c r="H84" s="210"/>
      <c r="I84" s="5"/>
      <c r="J84" s="5"/>
      <c r="K84" s="1"/>
    </row>
    <row r="85" spans="1:11" ht="18.75">
      <c r="A85" s="7"/>
      <c r="B85" s="35"/>
      <c r="C85" s="35"/>
      <c r="D85" s="201"/>
      <c r="E85" s="202"/>
      <c r="F85" s="54">
        <f>+G85*0.9</f>
        <v>22500</v>
      </c>
      <c r="G85" s="54">
        <f>E12</f>
        <v>25000</v>
      </c>
      <c r="H85" s="54">
        <f>+G85*1.1</f>
        <v>27500.000000000004</v>
      </c>
      <c r="I85" s="5"/>
      <c r="J85" s="5"/>
      <c r="K85" s="1"/>
    </row>
    <row r="86" spans="1:11" ht="18.75">
      <c r="A86" s="7"/>
      <c r="B86" s="7"/>
      <c r="C86" s="7"/>
      <c r="D86" s="203"/>
      <c r="E86" s="204"/>
      <c r="F86" s="55">
        <f>Hoja1!C40/Ficha!F85</f>
        <v>66.427879</v>
      </c>
      <c r="G86" s="55">
        <f>J73/G85</f>
        <v>62.0782911</v>
      </c>
      <c r="H86" s="55">
        <f>Hoja1!D40/Ficha!H85</f>
        <v>54.1880249590909</v>
      </c>
      <c r="I86" s="5"/>
      <c r="J86" s="5"/>
      <c r="K86" s="1"/>
    </row>
    <row r="87" spans="1:11" ht="18.75">
      <c r="A87" s="7"/>
      <c r="B87" s="7"/>
      <c r="C87" s="7"/>
      <c r="D87" s="7"/>
      <c r="E87" s="7"/>
      <c r="F87" s="84"/>
      <c r="G87" s="84"/>
      <c r="H87" s="84"/>
      <c r="I87" s="5"/>
      <c r="J87" s="5"/>
      <c r="K87" s="1"/>
    </row>
    <row r="88" spans="1:10" ht="18.75">
      <c r="A88" s="7"/>
      <c r="B88" s="198" t="s">
        <v>43</v>
      </c>
      <c r="C88" s="198"/>
      <c r="D88" s="198"/>
      <c r="E88" s="198"/>
      <c r="F88" s="198"/>
      <c r="G88" s="198"/>
      <c r="H88" s="198"/>
      <c r="I88" s="198"/>
      <c r="J88" s="198"/>
    </row>
    <row r="89" spans="1:10" ht="18.75">
      <c r="A89" s="7"/>
      <c r="B89" s="192" t="s">
        <v>109</v>
      </c>
      <c r="C89" s="193"/>
      <c r="D89" s="193"/>
      <c r="E89" s="193"/>
      <c r="F89" s="193"/>
      <c r="G89" s="193"/>
      <c r="H89" s="193"/>
      <c r="I89" s="193"/>
      <c r="J89" s="194"/>
    </row>
    <row r="90" spans="1:10" ht="18.75">
      <c r="A90" s="7"/>
      <c r="B90" s="195"/>
      <c r="C90" s="196"/>
      <c r="D90" s="196"/>
      <c r="E90" s="196"/>
      <c r="F90" s="196"/>
      <c r="G90" s="196"/>
      <c r="H90" s="196"/>
      <c r="I90" s="196"/>
      <c r="J90" s="197"/>
    </row>
    <row r="91" spans="1:10" ht="20.25" customHeight="1">
      <c r="A91" s="7"/>
      <c r="B91" s="157" t="s">
        <v>116</v>
      </c>
      <c r="C91" s="158"/>
      <c r="D91" s="158"/>
      <c r="E91" s="158"/>
      <c r="F91" s="158"/>
      <c r="G91" s="158"/>
      <c r="H91" s="158"/>
      <c r="I91" s="158"/>
      <c r="J91" s="159"/>
    </row>
    <row r="92" spans="1:10" ht="18.75">
      <c r="A92" s="7"/>
      <c r="B92" s="195" t="s">
        <v>105</v>
      </c>
      <c r="C92" s="196"/>
      <c r="D92" s="196"/>
      <c r="E92" s="196"/>
      <c r="F92" s="196"/>
      <c r="G92" s="196"/>
      <c r="H92" s="196"/>
      <c r="I92" s="196"/>
      <c r="J92" s="197"/>
    </row>
    <row r="93" spans="1:10" ht="18.75">
      <c r="A93" s="7"/>
      <c r="B93" s="195"/>
      <c r="C93" s="196"/>
      <c r="D93" s="196"/>
      <c r="E93" s="196"/>
      <c r="F93" s="196"/>
      <c r="G93" s="196"/>
      <c r="H93" s="196"/>
      <c r="I93" s="196"/>
      <c r="J93" s="197"/>
    </row>
    <row r="94" spans="1:10" ht="22.5" customHeight="1">
      <c r="A94" s="7"/>
      <c r="B94" s="195"/>
      <c r="C94" s="196"/>
      <c r="D94" s="196"/>
      <c r="E94" s="196"/>
      <c r="F94" s="196"/>
      <c r="G94" s="196"/>
      <c r="H94" s="196"/>
      <c r="I94" s="196"/>
      <c r="J94" s="197"/>
    </row>
    <row r="95" spans="1:10" ht="18.75">
      <c r="A95" s="7"/>
      <c r="B95" s="189" t="s">
        <v>106</v>
      </c>
      <c r="C95" s="190"/>
      <c r="D95" s="190"/>
      <c r="E95" s="190"/>
      <c r="F95" s="190"/>
      <c r="G95" s="190"/>
      <c r="H95" s="190"/>
      <c r="I95" s="190"/>
      <c r="J95" s="191"/>
    </row>
    <row r="96" spans="1:10" ht="18.75">
      <c r="A96" s="7"/>
      <c r="B96" s="186" t="s">
        <v>107</v>
      </c>
      <c r="C96" s="187"/>
      <c r="D96" s="187"/>
      <c r="E96" s="187"/>
      <c r="F96" s="187"/>
      <c r="G96" s="187"/>
      <c r="H96" s="187"/>
      <c r="I96" s="187"/>
      <c r="J96" s="188"/>
    </row>
    <row r="97" spans="1:10" ht="18.75">
      <c r="A97" s="7"/>
      <c r="B97" s="65"/>
      <c r="C97" s="65"/>
      <c r="D97" s="65"/>
      <c r="E97" s="65"/>
      <c r="F97" s="65"/>
      <c r="G97" s="65"/>
      <c r="H97" s="65"/>
      <c r="I97" s="65"/>
      <c r="J97" s="65"/>
    </row>
  </sheetData>
  <sheetProtection/>
  <mergeCells count="82">
    <mergeCell ref="E59:F59"/>
    <mergeCell ref="E60:F60"/>
    <mergeCell ref="E58:F58"/>
    <mergeCell ref="B34:D34"/>
    <mergeCell ref="B35:D35"/>
    <mergeCell ref="E55:F55"/>
    <mergeCell ref="E53:F53"/>
    <mergeCell ref="E36:F36"/>
    <mergeCell ref="E54:F54"/>
    <mergeCell ref="E46:F46"/>
    <mergeCell ref="E51:F51"/>
    <mergeCell ref="E49:F49"/>
    <mergeCell ref="E48:F48"/>
    <mergeCell ref="E45:F45"/>
    <mergeCell ref="B33:D33"/>
    <mergeCell ref="E57:F57"/>
    <mergeCell ref="B39:D39"/>
    <mergeCell ref="E50:F50"/>
    <mergeCell ref="B38:D38"/>
    <mergeCell ref="B63:I63"/>
    <mergeCell ref="B61:I61"/>
    <mergeCell ref="E24:F24"/>
    <mergeCell ref="E26:F26"/>
    <mergeCell ref="E34:F34"/>
    <mergeCell ref="E35:F35"/>
    <mergeCell ref="E37:F37"/>
    <mergeCell ref="E33:F33"/>
    <mergeCell ref="E39:F39"/>
    <mergeCell ref="E27:F27"/>
    <mergeCell ref="B2:J2"/>
    <mergeCell ref="E4:G4"/>
    <mergeCell ref="E3:G3"/>
    <mergeCell ref="B23:D23"/>
    <mergeCell ref="E47:F47"/>
    <mergeCell ref="E38:F38"/>
    <mergeCell ref="B40:I40"/>
    <mergeCell ref="B37:D37"/>
    <mergeCell ref="E29:F29"/>
    <mergeCell ref="B75:J75"/>
    <mergeCell ref="B73:I73"/>
    <mergeCell ref="B69:D69"/>
    <mergeCell ref="B66:D66"/>
    <mergeCell ref="B67:D67"/>
    <mergeCell ref="E68:I70"/>
    <mergeCell ref="E66:H66"/>
    <mergeCell ref="B68:D68"/>
    <mergeCell ref="B70:D70"/>
    <mergeCell ref="E67:H67"/>
    <mergeCell ref="D78:E79"/>
    <mergeCell ref="D77:H77"/>
    <mergeCell ref="F84:H84"/>
    <mergeCell ref="F78:H78"/>
    <mergeCell ref="D82:E82"/>
    <mergeCell ref="D80:E80"/>
    <mergeCell ref="D81:E81"/>
    <mergeCell ref="B24:D24"/>
    <mergeCell ref="E19:F20"/>
    <mergeCell ref="E23:F23"/>
    <mergeCell ref="B96:J96"/>
    <mergeCell ref="B95:J95"/>
    <mergeCell ref="B89:J90"/>
    <mergeCell ref="B71:I71"/>
    <mergeCell ref="B88:J88"/>
    <mergeCell ref="B92:J94"/>
    <mergeCell ref="D84:E86"/>
    <mergeCell ref="G11:J11"/>
    <mergeCell ref="B11:E11"/>
    <mergeCell ref="G19:G20"/>
    <mergeCell ref="H19:H20"/>
    <mergeCell ref="I19:I20"/>
    <mergeCell ref="J19:J20"/>
    <mergeCell ref="B19:D20"/>
    <mergeCell ref="B25:D25"/>
    <mergeCell ref="B91:J91"/>
    <mergeCell ref="B30:I30"/>
    <mergeCell ref="E25:F25"/>
    <mergeCell ref="B28:D28"/>
    <mergeCell ref="B29:D29"/>
    <mergeCell ref="E43:F43"/>
    <mergeCell ref="E28:F28"/>
    <mergeCell ref="B27:D27"/>
    <mergeCell ref="B26:D2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122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F8" sqref="F8"/>
    </sheetView>
  </sheetViews>
  <sheetFormatPr defaultColWidth="11.421875" defaultRowHeight="15"/>
  <cols>
    <col min="2" max="2" width="22.00390625" style="0" bestFit="1" customWidth="1"/>
  </cols>
  <sheetData>
    <row r="2" spans="2:3" ht="15">
      <c r="B2" s="76" t="s">
        <v>65</v>
      </c>
      <c r="C2" s="77">
        <f>((Ficha!E12-25000)/25000)+1</f>
        <v>1</v>
      </c>
    </row>
    <row r="4" ht="15">
      <c r="B4" s="78" t="s">
        <v>66</v>
      </c>
    </row>
    <row r="5" spans="2:3" ht="15">
      <c r="B5" t="s">
        <v>56</v>
      </c>
      <c r="C5">
        <v>25000</v>
      </c>
    </row>
    <row r="6" spans="2:3" ht="15">
      <c r="B6" t="s">
        <v>59</v>
      </c>
      <c r="C6">
        <v>25000</v>
      </c>
    </row>
    <row r="14" ht="15">
      <c r="B14" s="78" t="s">
        <v>42</v>
      </c>
    </row>
    <row r="16" spans="2:4" ht="15">
      <c r="B16" s="76" t="s">
        <v>67</v>
      </c>
      <c r="C16" s="79">
        <f>Ficha!D80</f>
        <v>22500</v>
      </c>
      <c r="D16" s="79">
        <f>Ficha!D82</f>
        <v>27500.000000000004</v>
      </c>
    </row>
    <row r="18" spans="2:4" ht="15">
      <c r="B18" s="76" t="s">
        <v>65</v>
      </c>
      <c r="C18" s="77">
        <v>0.9</v>
      </c>
      <c r="D18" s="77">
        <v>1.1</v>
      </c>
    </row>
    <row r="20" ht="15">
      <c r="B20" t="s">
        <v>30</v>
      </c>
    </row>
    <row r="21" spans="2:4" ht="15">
      <c r="B21" t="s">
        <v>68</v>
      </c>
      <c r="C21" s="75">
        <f>SUM(Ficha!J23:J28)</f>
        <v>275000</v>
      </c>
      <c r="D21" s="75">
        <f>SUM(Ficha!J23:J28)</f>
        <v>275000</v>
      </c>
    </row>
    <row r="22" spans="2:4" ht="15">
      <c r="B22" s="80" t="s">
        <v>69</v>
      </c>
      <c r="C22" s="81">
        <f>C18*Ficha!G29*Ficha!I29</f>
        <v>180000</v>
      </c>
      <c r="D22" s="81">
        <f>D18*Ficha!G29*Ficha!I29</f>
        <v>220000.00000000003</v>
      </c>
    </row>
    <row r="23" spans="2:4" ht="15">
      <c r="B23" t="s">
        <v>70</v>
      </c>
      <c r="C23" s="75">
        <f>SUM(C21:C22)</f>
        <v>455000</v>
      </c>
      <c r="D23" s="75">
        <f>SUM(D21:D22)</f>
        <v>495000</v>
      </c>
    </row>
    <row r="25" ht="15">
      <c r="B25" t="s">
        <v>32</v>
      </c>
    </row>
    <row r="26" spans="2:4" ht="15">
      <c r="B26" t="s">
        <v>68</v>
      </c>
      <c r="C26" s="75">
        <f>SUM(Ficha!J33:J38)</f>
        <v>200000</v>
      </c>
      <c r="D26" s="75">
        <f>SUM(Ficha!J33:J38)</f>
        <v>200000</v>
      </c>
    </row>
    <row r="27" spans="2:4" ht="15">
      <c r="B27" s="80" t="s">
        <v>69</v>
      </c>
      <c r="C27" s="80">
        <f>C18*Ficha!G39*Ficha!I39</f>
        <v>90000</v>
      </c>
      <c r="D27" s="80">
        <f>D18*Ficha!G39*Ficha!I39</f>
        <v>110000.00000000001</v>
      </c>
    </row>
    <row r="28" spans="2:4" ht="15">
      <c r="B28" t="s">
        <v>70</v>
      </c>
      <c r="C28" s="75">
        <f>SUM(C26:C27)</f>
        <v>290000</v>
      </c>
      <c r="D28" s="75">
        <f>SUM(D26:D27)</f>
        <v>310000</v>
      </c>
    </row>
    <row r="30" ht="15">
      <c r="B30" t="s">
        <v>71</v>
      </c>
    </row>
    <row r="31" spans="2:4" ht="15">
      <c r="B31" t="s">
        <v>68</v>
      </c>
      <c r="C31" s="75">
        <f>SUM(Ficha!J43:J59)</f>
        <v>610671</v>
      </c>
      <c r="D31" s="75">
        <f>SUM(Ficha!J43:J59)</f>
        <v>610671</v>
      </c>
    </row>
    <row r="32" spans="2:4" ht="15">
      <c r="B32" s="80" t="s">
        <v>69</v>
      </c>
      <c r="C32" s="80">
        <v>0</v>
      </c>
      <c r="D32" s="80">
        <v>0</v>
      </c>
    </row>
    <row r="33" spans="2:4" ht="15">
      <c r="B33" t="s">
        <v>70</v>
      </c>
      <c r="C33" s="75">
        <f>SUM(C31:C32)</f>
        <v>610671</v>
      </c>
      <c r="D33" s="75">
        <f>SUM(D31:D32)</f>
        <v>610671</v>
      </c>
    </row>
    <row r="35" spans="2:4" ht="15">
      <c r="B35" s="78" t="s">
        <v>72</v>
      </c>
      <c r="C35" s="75">
        <f>C23+C28+C33</f>
        <v>1355671</v>
      </c>
      <c r="D35" s="75">
        <f>D23+D28+D33</f>
        <v>1415671</v>
      </c>
    </row>
    <row r="37" spans="2:4" ht="15">
      <c r="B37" t="s">
        <v>0</v>
      </c>
      <c r="C37" s="82">
        <f>C35*Ficha!I66</f>
        <v>67783.55</v>
      </c>
      <c r="D37" s="82">
        <f>D35*Ficha!I66</f>
        <v>70783.55</v>
      </c>
    </row>
    <row r="38" spans="2:4" ht="15">
      <c r="B38" t="s">
        <v>38</v>
      </c>
      <c r="C38" s="82">
        <f>C35*Ficha!E15*Ficha!E16*Ficha!E17</f>
        <v>71172.7275</v>
      </c>
      <c r="D38" s="82">
        <f>D37*Ficha!E15*Ficha!E16*Ficha!E17</f>
        <v>3716.136375</v>
      </c>
    </row>
    <row r="40" spans="2:4" ht="15">
      <c r="B40" s="78" t="s">
        <v>41</v>
      </c>
      <c r="C40" s="83">
        <f>C35+C37+C38</f>
        <v>1494627.2775</v>
      </c>
      <c r="D40" s="83">
        <f>D35+D37+D38</f>
        <v>1490170.686375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2013-08-01T20:46:13Z</cp:lastPrinted>
  <dcterms:created xsi:type="dcterms:W3CDTF">2012-07-09T18:51:50Z</dcterms:created>
  <dcterms:modified xsi:type="dcterms:W3CDTF">2017-12-01T18:09:52Z</dcterms:modified>
  <cp:category/>
  <cp:version/>
  <cp:contentType/>
  <cp:contentStatus/>
</cp:coreProperties>
</file>